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120" yWindow="105" windowWidth="15120" windowHeight="8010" tabRatio="769"/>
  </bookViews>
  <sheets>
    <sheet name="Общие данные" sheetId="1" r:id="rId1"/>
    <sheet name="Активы" sheetId="2" r:id="rId2"/>
    <sheet name="Вариант 1 как есть " sheetId="4" r:id="rId3"/>
    <sheet name="Вариант 2 (на газе)" sheetId="5" r:id="rId4"/>
    <sheet name="Модернизация" sheetId="6" r:id="rId5"/>
    <sheet name="Ценообразование продукции" sheetId="3" r:id="rId6"/>
  </sheets>
  <calcPr calcId="144525"/>
</workbook>
</file>

<file path=xl/calcChain.xml><?xml version="1.0" encoding="utf-8"?>
<calcChain xmlns="http://schemas.openxmlformats.org/spreadsheetml/2006/main">
  <c r="D7" i="5" l="1"/>
  <c r="P9" i="3"/>
  <c r="M9" i="3"/>
  <c r="E9" i="3"/>
  <c r="H16" i="6" l="1"/>
  <c r="D7" i="4" l="1"/>
  <c r="D69" i="5" l="1"/>
  <c r="D64" i="5"/>
  <c r="N53" i="5"/>
  <c r="M53" i="5"/>
  <c r="L53" i="5"/>
  <c r="K53" i="5"/>
  <c r="J53" i="5"/>
  <c r="I53" i="5"/>
  <c r="H53" i="5"/>
  <c r="G53" i="5"/>
  <c r="F53" i="5"/>
  <c r="E53" i="5"/>
  <c r="D53" i="5"/>
  <c r="N52" i="5"/>
  <c r="M52" i="5"/>
  <c r="L52" i="5"/>
  <c r="K52" i="5"/>
  <c r="J52" i="5"/>
  <c r="I52" i="5"/>
  <c r="H52" i="5"/>
  <c r="G52" i="5"/>
  <c r="F52" i="5"/>
  <c r="E52" i="5"/>
  <c r="D49" i="5"/>
  <c r="D45" i="5"/>
  <c r="E37" i="5"/>
  <c r="N36" i="5"/>
  <c r="N54" i="5" s="1"/>
  <c r="M36" i="5"/>
  <c r="M54" i="5" s="1"/>
  <c r="L36" i="5"/>
  <c r="L54" i="5" s="1"/>
  <c r="K36" i="5"/>
  <c r="K54" i="5" s="1"/>
  <c r="J36" i="5"/>
  <c r="J54" i="5" s="1"/>
  <c r="I36" i="5"/>
  <c r="I54" i="5" s="1"/>
  <c r="H36" i="5"/>
  <c r="H54" i="5" s="1"/>
  <c r="G36" i="5"/>
  <c r="G54" i="5" s="1"/>
  <c r="F36" i="5"/>
  <c r="F54" i="5" s="1"/>
  <c r="E36" i="5"/>
  <c r="E54" i="5" s="1"/>
  <c r="E31" i="5"/>
  <c r="E51" i="5" s="1"/>
  <c r="F30" i="5"/>
  <c r="G30" i="5" s="1"/>
  <c r="D23" i="5"/>
  <c r="D22" i="5" s="1"/>
  <c r="E35" i="5" s="1"/>
  <c r="F35" i="5" s="1"/>
  <c r="G35" i="5" s="1"/>
  <c r="H35" i="5" s="1"/>
  <c r="I35" i="5" s="1"/>
  <c r="J35" i="5" s="1"/>
  <c r="K35" i="5" s="1"/>
  <c r="L35" i="5" s="1"/>
  <c r="M35" i="5" s="1"/>
  <c r="N35" i="5" s="1"/>
  <c r="D10" i="5"/>
  <c r="E29" i="5" s="1"/>
  <c r="D57" i="5" l="1"/>
  <c r="E23" i="5"/>
  <c r="F23" i="5" s="1"/>
  <c r="G23" i="5" s="1"/>
  <c r="H23" i="5" s="1"/>
  <c r="I23" i="5" s="1"/>
  <c r="J23" i="5" s="1"/>
  <c r="K23" i="5" s="1"/>
  <c r="L23" i="5" s="1"/>
  <c r="M23" i="5" s="1"/>
  <c r="N23" i="5" s="1"/>
  <c r="E34" i="5"/>
  <c r="E38" i="5" s="1"/>
  <c r="F29" i="5"/>
  <c r="E50" i="5"/>
  <c r="E39" i="5"/>
  <c r="E55" i="5" s="1"/>
  <c r="D59" i="5"/>
  <c r="D58" i="5"/>
  <c r="H30" i="5"/>
  <c r="F31" i="5"/>
  <c r="G31" i="5" s="1"/>
  <c r="H31" i="5" s="1"/>
  <c r="I31" i="5" s="1"/>
  <c r="J31" i="5" s="1"/>
  <c r="K31" i="5" s="1"/>
  <c r="L31" i="5" s="1"/>
  <c r="M31" i="5" s="1"/>
  <c r="N31" i="5" s="1"/>
  <c r="E57" i="5" l="1"/>
  <c r="E59" i="5" s="1"/>
  <c r="E40" i="5"/>
  <c r="F34" i="5"/>
  <c r="F38" i="5" s="1"/>
  <c r="G29" i="5"/>
  <c r="F50" i="5"/>
  <c r="F39" i="5"/>
  <c r="F55" i="5" s="1"/>
  <c r="F51" i="5"/>
  <c r="H51" i="5"/>
  <c r="I30" i="5"/>
  <c r="D60" i="5"/>
  <c r="G51" i="5"/>
  <c r="D23" i="4"/>
  <c r="E31" i="4"/>
  <c r="E51" i="4" s="1"/>
  <c r="D49" i="4"/>
  <c r="D69" i="4"/>
  <c r="D45" i="4"/>
  <c r="F37" i="5" l="1"/>
  <c r="E58" i="5"/>
  <c r="E60" i="5"/>
  <c r="H29" i="5"/>
  <c r="G34" i="5"/>
  <c r="G38" i="5" s="1"/>
  <c r="G50" i="5"/>
  <c r="G39" i="5"/>
  <c r="G55" i="5" s="1"/>
  <c r="F57" i="5"/>
  <c r="J30" i="5"/>
  <c r="I51" i="5"/>
  <c r="F40" i="5"/>
  <c r="F30" i="4"/>
  <c r="F31" i="4"/>
  <c r="G31" i="4" s="1"/>
  <c r="H31" i="4" s="1"/>
  <c r="I31" i="4" s="1"/>
  <c r="J31" i="4" s="1"/>
  <c r="K31" i="4" s="1"/>
  <c r="L31" i="4" s="1"/>
  <c r="M31" i="4" s="1"/>
  <c r="N31" i="4" s="1"/>
  <c r="G40" i="5" l="1"/>
  <c r="H37" i="5" s="1"/>
  <c r="F51" i="4"/>
  <c r="J51" i="5"/>
  <c r="K30" i="5"/>
  <c r="F59" i="5"/>
  <c r="H50" i="5"/>
  <c r="H39" i="5"/>
  <c r="H55" i="5" s="1"/>
  <c r="H34" i="5"/>
  <c r="H38" i="5" s="1"/>
  <c r="I29" i="5"/>
  <c r="G37" i="5"/>
  <c r="G57" i="5"/>
  <c r="G59" i="5" s="1"/>
  <c r="F58" i="5"/>
  <c r="D10" i="4"/>
  <c r="H40" i="5" l="1"/>
  <c r="I37" i="5" s="1"/>
  <c r="I39" i="5"/>
  <c r="I55" i="5" s="1"/>
  <c r="I50" i="5"/>
  <c r="I34" i="5"/>
  <c r="I38" i="5" s="1"/>
  <c r="J29" i="5"/>
  <c r="F60" i="5"/>
  <c r="G60" i="5" s="1"/>
  <c r="L30" i="5"/>
  <c r="K51" i="5"/>
  <c r="G58" i="5"/>
  <c r="H57" i="5"/>
  <c r="H59" i="5" s="1"/>
  <c r="E29" i="4"/>
  <c r="E39" i="4" s="1"/>
  <c r="E55" i="4" s="1"/>
  <c r="E36" i="4"/>
  <c r="E54" i="4" s="1"/>
  <c r="F36" i="4"/>
  <c r="G36" i="4"/>
  <c r="G54" i="4" s="1"/>
  <c r="H36" i="4"/>
  <c r="H54" i="4" s="1"/>
  <c r="I36" i="4"/>
  <c r="I54" i="4" s="1"/>
  <c r="J36" i="4"/>
  <c r="K36" i="4"/>
  <c r="K54" i="4" s="1"/>
  <c r="L36" i="4"/>
  <c r="L54" i="4" s="1"/>
  <c r="M36" i="4"/>
  <c r="M54" i="4" s="1"/>
  <c r="N36" i="4"/>
  <c r="E37" i="4"/>
  <c r="E52" i="4"/>
  <c r="F52" i="4"/>
  <c r="G52" i="4"/>
  <c r="H52" i="4"/>
  <c r="I52" i="4"/>
  <c r="J52" i="4"/>
  <c r="K52" i="4"/>
  <c r="L52" i="4"/>
  <c r="M52" i="4"/>
  <c r="N52" i="4"/>
  <c r="D53" i="4"/>
  <c r="E53" i="4"/>
  <c r="F53" i="4"/>
  <c r="G53" i="4"/>
  <c r="H53" i="4"/>
  <c r="I53" i="4"/>
  <c r="J53" i="4"/>
  <c r="K53" i="4"/>
  <c r="L53" i="4"/>
  <c r="M53" i="4"/>
  <c r="N53" i="4"/>
  <c r="F54" i="4"/>
  <c r="J54" i="4"/>
  <c r="N54" i="4"/>
  <c r="D64" i="4"/>
  <c r="I57" i="5" l="1"/>
  <c r="I59" i="5" s="1"/>
  <c r="I40" i="5"/>
  <c r="J37" i="5" s="1"/>
  <c r="H58" i="5"/>
  <c r="M30" i="5"/>
  <c r="L51" i="5"/>
  <c r="J34" i="5"/>
  <c r="J38" i="5" s="1"/>
  <c r="K29" i="5"/>
  <c r="J50" i="5"/>
  <c r="J39" i="5"/>
  <c r="J55" i="5" s="1"/>
  <c r="H60" i="5"/>
  <c r="D22" i="4"/>
  <c r="G30" i="4"/>
  <c r="G51" i="4" s="1"/>
  <c r="F29" i="4"/>
  <c r="G29" i="4" s="1"/>
  <c r="H29" i="4" s="1"/>
  <c r="E34" i="4"/>
  <c r="E38" i="4" s="1"/>
  <c r="E50" i="4"/>
  <c r="D57" i="4"/>
  <c r="I60" i="5" l="1"/>
  <c r="I58" i="5"/>
  <c r="J40" i="5"/>
  <c r="K37" i="5" s="1"/>
  <c r="E35" i="4"/>
  <c r="F35" i="4" s="1"/>
  <c r="G35" i="4" s="1"/>
  <c r="H35" i="4" s="1"/>
  <c r="I35" i="4" s="1"/>
  <c r="J35" i="4" s="1"/>
  <c r="K35" i="4" s="1"/>
  <c r="L35" i="4" s="1"/>
  <c r="M35" i="4" s="1"/>
  <c r="N35" i="4" s="1"/>
  <c r="E23" i="4"/>
  <c r="J57" i="5"/>
  <c r="N30" i="5"/>
  <c r="N51" i="5" s="1"/>
  <c r="M51" i="5"/>
  <c r="K34" i="5"/>
  <c r="K38" i="5" s="1"/>
  <c r="L29" i="5"/>
  <c r="K50" i="5"/>
  <c r="K39" i="5"/>
  <c r="K55" i="5" s="1"/>
  <c r="F34" i="4"/>
  <c r="F38" i="4" s="1"/>
  <c r="F39" i="4"/>
  <c r="F55" i="4" s="1"/>
  <c r="H30" i="4"/>
  <c r="H51" i="4" s="1"/>
  <c r="F50" i="4"/>
  <c r="F23" i="4"/>
  <c r="G23" i="4" s="1"/>
  <c r="H23" i="4" s="1"/>
  <c r="I23" i="4" s="1"/>
  <c r="J23" i="4" s="1"/>
  <c r="K23" i="4" s="1"/>
  <c r="L23" i="4" s="1"/>
  <c r="M23" i="4" s="1"/>
  <c r="N23" i="4" s="1"/>
  <c r="E57" i="4"/>
  <c r="E58" i="4" s="1"/>
  <c r="E40" i="4"/>
  <c r="G34" i="4"/>
  <c r="G38" i="4" s="1"/>
  <c r="D58" i="4"/>
  <c r="D59" i="4"/>
  <c r="K40" i="5" l="1"/>
  <c r="L37" i="5" s="1"/>
  <c r="F40" i="4"/>
  <c r="G37" i="4" s="1"/>
  <c r="K57" i="5"/>
  <c r="K59" i="5" s="1"/>
  <c r="L50" i="5"/>
  <c r="L39" i="5"/>
  <c r="L55" i="5" s="1"/>
  <c r="L34" i="5"/>
  <c r="L38" i="5" s="1"/>
  <c r="M29" i="5"/>
  <c r="J59" i="5"/>
  <c r="J58" i="5"/>
  <c r="K58" i="5" s="1"/>
  <c r="F57" i="4"/>
  <c r="F59" i="4" s="1"/>
  <c r="H39" i="4"/>
  <c r="H55" i="4" s="1"/>
  <c r="G39" i="4"/>
  <c r="G55" i="4" s="1"/>
  <c r="I30" i="4"/>
  <c r="I51" i="4" s="1"/>
  <c r="G50" i="4"/>
  <c r="F37" i="4"/>
  <c r="E59" i="4"/>
  <c r="D60" i="4"/>
  <c r="L40" i="5" l="1"/>
  <c r="M37" i="5" s="1"/>
  <c r="M50" i="5"/>
  <c r="M39" i="5"/>
  <c r="M55" i="5" s="1"/>
  <c r="M34" i="5"/>
  <c r="M38" i="5" s="1"/>
  <c r="N29" i="5"/>
  <c r="J60" i="5"/>
  <c r="K60" i="5" s="1"/>
  <c r="L57" i="5"/>
  <c r="F58" i="4"/>
  <c r="G40" i="4"/>
  <c r="H34" i="4"/>
  <c r="H38" i="4" s="1"/>
  <c r="H40" i="4" s="1"/>
  <c r="I37" i="4" s="1"/>
  <c r="I29" i="4"/>
  <c r="I39" i="4" s="1"/>
  <c r="I55" i="4" s="1"/>
  <c r="H50" i="4"/>
  <c r="H57" i="4" s="1"/>
  <c r="H59" i="4" s="1"/>
  <c r="G57" i="4"/>
  <c r="G59" i="4" s="1"/>
  <c r="J30" i="4"/>
  <c r="J51" i="4" s="1"/>
  <c r="E60" i="4"/>
  <c r="F60" i="4" s="1"/>
  <c r="M40" i="5" l="1"/>
  <c r="N37" i="5" s="1"/>
  <c r="L59" i="5"/>
  <c r="L60" i="5" s="1"/>
  <c r="N34" i="5"/>
  <c r="N50" i="5"/>
  <c r="N39" i="5"/>
  <c r="N55" i="5" s="1"/>
  <c r="L58" i="5"/>
  <c r="M57" i="5"/>
  <c r="M59" i="5" s="1"/>
  <c r="H37" i="4"/>
  <c r="G58" i="4"/>
  <c r="I50" i="4"/>
  <c r="I57" i="4" s="1"/>
  <c r="I59" i="4" s="1"/>
  <c r="I34" i="4"/>
  <c r="I38" i="4" s="1"/>
  <c r="I40" i="4" s="1"/>
  <c r="J29" i="4"/>
  <c r="J39" i="4" s="1"/>
  <c r="J55" i="4" s="1"/>
  <c r="H58" i="4"/>
  <c r="G60" i="4"/>
  <c r="H60" i="4" s="1"/>
  <c r="K30" i="4"/>
  <c r="K51" i="4" s="1"/>
  <c r="N57" i="5" l="1"/>
  <c r="N59" i="5" s="1"/>
  <c r="M60" i="5"/>
  <c r="M58" i="5"/>
  <c r="N38" i="5"/>
  <c r="N40" i="5" s="1"/>
  <c r="D68" i="5" s="1"/>
  <c r="O56" i="5"/>
  <c r="O57" i="5" s="1"/>
  <c r="K29" i="4"/>
  <c r="K39" i="4" s="1"/>
  <c r="K55" i="4" s="1"/>
  <c r="J50" i="4"/>
  <c r="J57" i="4" s="1"/>
  <c r="J34" i="4"/>
  <c r="J38" i="4" s="1"/>
  <c r="J40" i="4" s="1"/>
  <c r="I58" i="4"/>
  <c r="I60" i="4"/>
  <c r="L30" i="4"/>
  <c r="L51" i="4" s="1"/>
  <c r="J37" i="4"/>
  <c r="N58" i="5" l="1"/>
  <c r="O58" i="5" s="1"/>
  <c r="K50" i="4"/>
  <c r="K34" i="4"/>
  <c r="K38" i="4" s="1"/>
  <c r="K40" i="4" s="1"/>
  <c r="L29" i="4"/>
  <c r="L39" i="4" s="1"/>
  <c r="L55" i="4" s="1"/>
  <c r="N60" i="5"/>
  <c r="D44" i="5"/>
  <c r="D46" i="5" s="1"/>
  <c r="D70" i="5"/>
  <c r="O59" i="5"/>
  <c r="D65" i="5" s="1"/>
  <c r="D66" i="5"/>
  <c r="D67" i="5" s="1"/>
  <c r="M30" i="4"/>
  <c r="M51" i="4" s="1"/>
  <c r="K37" i="4"/>
  <c r="K57" i="4"/>
  <c r="K59" i="4" s="1"/>
  <c r="J59" i="4"/>
  <c r="J58" i="4"/>
  <c r="M29" i="4" l="1"/>
  <c r="M39" i="4" s="1"/>
  <c r="L34" i="4"/>
  <c r="L38" i="4" s="1"/>
  <c r="L40" i="4" s="1"/>
  <c r="L50" i="4"/>
  <c r="L57" i="4" s="1"/>
  <c r="O60" i="5"/>
  <c r="L37" i="4"/>
  <c r="J60" i="4"/>
  <c r="K60" i="4" s="1"/>
  <c r="N30" i="4"/>
  <c r="N51" i="4" s="1"/>
  <c r="K58" i="4"/>
  <c r="N29" i="4"/>
  <c r="N39" i="4" s="1"/>
  <c r="M55" i="4"/>
  <c r="M50" i="4"/>
  <c r="M34" i="4"/>
  <c r="M38" i="4" s="1"/>
  <c r="M57" i="4" l="1"/>
  <c r="M59" i="4" s="1"/>
  <c r="M40" i="4"/>
  <c r="N37" i="4" s="1"/>
  <c r="L59" i="4"/>
  <c r="M37" i="4"/>
  <c r="L58" i="4"/>
  <c r="M58" i="4" s="1"/>
  <c r="N34" i="4"/>
  <c r="N50" i="4"/>
  <c r="N55" i="4"/>
  <c r="L60" i="4" l="1"/>
  <c r="M60" i="4" s="1"/>
  <c r="N57" i="4"/>
  <c r="N59" i="4" s="1"/>
  <c r="N38" i="4"/>
  <c r="N40" i="4" s="1"/>
  <c r="D68" i="4" s="1"/>
  <c r="O56" i="4"/>
  <c r="O57" i="4" s="1"/>
  <c r="D70" i="4" l="1"/>
  <c r="D44" i="4"/>
  <c r="D46" i="4" s="1"/>
  <c r="N60" i="4"/>
  <c r="N58" i="4"/>
  <c r="O58" i="4" s="1"/>
  <c r="O59" i="4"/>
  <c r="D65" i="4" s="1"/>
  <c r="D66" i="4"/>
  <c r="D67" i="4" s="1"/>
  <c r="O60" i="4" l="1"/>
</calcChain>
</file>

<file path=xl/sharedStrings.xml><?xml version="1.0" encoding="utf-8"?>
<sst xmlns="http://schemas.openxmlformats.org/spreadsheetml/2006/main" count="626" uniqueCount="416">
  <si>
    <t>(15т.р. За сотку)</t>
  </si>
  <si>
    <t>Производительность номинальная при влажности исходных материалов (песка и щебня) до 3%:</t>
  </si>
  <si>
    <t>56 т/ч</t>
  </si>
  <si>
    <t>Вместимость бункеров агрегата питания</t>
  </si>
  <si>
    <t>32 куб.м.</t>
  </si>
  <si>
    <t>Вместимость бункеров агрегата готовой смеси</t>
  </si>
  <si>
    <t>72900 кг</t>
  </si>
  <si>
    <t>Вместимость бункеров агрегата минерального порошка</t>
  </si>
  <si>
    <t>23 куб.м.</t>
  </si>
  <si>
    <t>Вместимость цистерн для битума</t>
  </si>
  <si>
    <t>30 куб.м.</t>
  </si>
  <si>
    <t>Тип дозаторов</t>
  </si>
  <si>
    <t>весовые на тензодатчиках</t>
  </si>
  <si>
    <t>Максимальная масса замеса</t>
  </si>
  <si>
    <t>730 кг</t>
  </si>
  <si>
    <t>Тип пылеулавливающего устройства</t>
  </si>
  <si>
    <t>Удельный расход топлива для приготовления одной тонны смеси:</t>
  </si>
  <si>
    <t>при работе на жидком топливе</t>
  </si>
  <si>
    <t>Установленная мощность электрооборудования</t>
  </si>
  <si>
    <t>220 кВт</t>
  </si>
  <si>
    <t>Габаритные размеры(длина, ширина, высота), max</t>
  </si>
  <si>
    <t>46300 х 29400 х 17600 мм</t>
  </si>
  <si>
    <t>Простой срок окупаемости, лет</t>
  </si>
  <si>
    <t>Инвестиции, руб.</t>
  </si>
  <si>
    <t>Дисконтированный срок окупаемости, лет</t>
  </si>
  <si>
    <t>IRR, %</t>
  </si>
  <si>
    <t>NPV, руб.</t>
  </si>
  <si>
    <t>Ставка дисконтирования, %</t>
  </si>
  <si>
    <t>УСН</t>
  </si>
  <si>
    <t>Окупаемость по денежному потоку</t>
  </si>
  <si>
    <t>год</t>
  </si>
  <si>
    <t>Дисконтированный денежный поток нарастающим итогом</t>
  </si>
  <si>
    <t>Дисконтированный денежный поток</t>
  </si>
  <si>
    <t>Нарастающим итогом</t>
  </si>
  <si>
    <t>Итого денежный поток</t>
  </si>
  <si>
    <t>Терминальная стоимость</t>
  </si>
  <si>
    <t>Налог на прибыль</t>
  </si>
  <si>
    <t>Проценты на ЗК</t>
  </si>
  <si>
    <t>Арендные платежи на землю</t>
  </si>
  <si>
    <t>Налог на имущество</t>
  </si>
  <si>
    <t>Расходы операционные</t>
  </si>
  <si>
    <t>Доходы операционные без НДС</t>
  </si>
  <si>
    <t>Расходы капитальные без НДС</t>
  </si>
  <si>
    <t>Расчет денежного потока</t>
  </si>
  <si>
    <t>Окупаемость по прибыли (ROIC)</t>
  </si>
  <si>
    <t>Инвестиции общие</t>
  </si>
  <si>
    <t>Средний GCF в год за 10 лет (ROIC)</t>
  </si>
  <si>
    <t>Окупаемость по прибыли</t>
  </si>
  <si>
    <t>Чистая прибыль</t>
  </si>
  <si>
    <t>Прибыль до н/о</t>
  </si>
  <si>
    <t>Убытки прошлых лет</t>
  </si>
  <si>
    <t>Проценты по кредиту</t>
  </si>
  <si>
    <t>Амортизация</t>
  </si>
  <si>
    <t>EBITDA</t>
  </si>
  <si>
    <t>Ремонт</t>
  </si>
  <si>
    <t>Выручка без НДС</t>
  </si>
  <si>
    <t>ПиУ ОСН</t>
  </si>
  <si>
    <t>10 год</t>
  </si>
  <si>
    <t>9 год</t>
  </si>
  <si>
    <t>8 год</t>
  </si>
  <si>
    <t>7 год</t>
  </si>
  <si>
    <t>6 год</t>
  </si>
  <si>
    <t>5 год</t>
  </si>
  <si>
    <t>4 год</t>
  </si>
  <si>
    <t>3 год</t>
  </si>
  <si>
    <t>2 год</t>
  </si>
  <si>
    <t>1 год</t>
  </si>
  <si>
    <t>0 год</t>
  </si>
  <si>
    <t>Доля СК, %</t>
  </si>
  <si>
    <t>Налог на доходы УСНО, %</t>
  </si>
  <si>
    <t>Стоимость имущества на конец года, руб.</t>
  </si>
  <si>
    <t>Амортизация в год, руб.</t>
  </si>
  <si>
    <t>Период амортизации, лет</t>
  </si>
  <si>
    <t>Стоимость ремонта</t>
  </si>
  <si>
    <t>ставка дисконтирования</t>
  </si>
  <si>
    <t>Инфляция по расходам, %</t>
  </si>
  <si>
    <t>Инфляция по доходам, %</t>
  </si>
  <si>
    <t>Расчет бюджета</t>
  </si>
  <si>
    <t>Расходная часть в месяц</t>
  </si>
  <si>
    <t>Доходная часть в месяц</t>
  </si>
  <si>
    <t>Доля в бизнесе</t>
  </si>
  <si>
    <t>Итого:</t>
  </si>
  <si>
    <t>Тонн в год</t>
  </si>
  <si>
    <t>Тонн в смену</t>
  </si>
  <si>
    <t>166 восмичасовых смен из расчёта 8 рабочих месяцев</t>
  </si>
  <si>
    <t>Акбердинский сельсовет Иглинского района РБ. Установка ДС -158</t>
  </si>
  <si>
    <t>Средний GCF в год за 10лет, руб.</t>
  </si>
  <si>
    <t>Стоимость доли и вложений, руб.</t>
  </si>
  <si>
    <t>Акбердинский сельсовет Иглинского района РБ. Установка ДС -158, 1993 г.в.</t>
  </si>
  <si>
    <t>Общие характеристики:</t>
  </si>
  <si>
    <t>Производственная мощность АБЗ 56 тонн/час</t>
  </si>
  <si>
    <t>Расходы на управление и з/п</t>
  </si>
  <si>
    <t>Доход за 1 тн., руб., без НДС</t>
  </si>
  <si>
    <t>среднегодовое значение</t>
  </si>
  <si>
    <t>Тонн в рабочий сезон</t>
  </si>
  <si>
    <t>при максимальной производительности</t>
  </si>
  <si>
    <t xml:space="preserve">Ремонт, тех.обслуживание, руб. </t>
  </si>
  <si>
    <t>При загрузке  25% от общего рабочего времени за смену(2часа)</t>
  </si>
  <si>
    <t>При загрузке  45% от общего рабочего времени</t>
  </si>
  <si>
    <t>8 000 000 руб.</t>
  </si>
  <si>
    <t>Модернизация установки</t>
  </si>
  <si>
    <t>4) повысить качество продукции</t>
  </si>
  <si>
    <t>3)  повысить конкурентносбособность</t>
  </si>
  <si>
    <t>2) нарастить объёмы производства, за счёт улучшения производительности</t>
  </si>
  <si>
    <t>1) улучшить эклолгичность производства</t>
  </si>
  <si>
    <t>5)  снизить себестоимость продуции</t>
  </si>
  <si>
    <t>Перечень необходимых работ и затрат на модернизацию:</t>
  </si>
  <si>
    <t>2) Подвод газовой трубы от ГРП до земельного участка</t>
  </si>
  <si>
    <t>3) Покупка оборудования</t>
  </si>
  <si>
    <t/>
  </si>
  <si>
    <t>ЛОКАЛЬНАЯ СМЕТА №1</t>
  </si>
  <si>
    <t>Номер</t>
  </si>
  <si>
    <t>Наименование работ</t>
  </si>
  <si>
    <t>Номер единичной расценки</t>
  </si>
  <si>
    <t>Единица измерения</t>
  </si>
  <si>
    <t>Выполнено работ</t>
  </si>
  <si>
    <t>по порядку</t>
  </si>
  <si>
    <t>позиции по смете</t>
  </si>
  <si>
    <t>количество</t>
  </si>
  <si>
    <t>цена за единицу, руб.</t>
  </si>
  <si>
    <t>стоимость, руб.</t>
  </si>
  <si>
    <t>Газопровод среднего давления</t>
  </si>
  <si>
    <t>1</t>
  </si>
  <si>
    <t>5</t>
  </si>
  <si>
    <t>Надземная прокладка стальных газопроводов на металлических опорах, условный диаметр газопровода 100 мм
НР=130% (НР = 2659 руб.)
СП=89% (СП = 1820 руб.)</t>
  </si>
  <si>
    <t>ТЕР-24-02-041-04</t>
  </si>
  <si>
    <t>100м газопровода</t>
  </si>
  <si>
    <t>2</t>
  </si>
  <si>
    <t>6</t>
  </si>
  <si>
    <t>Трубы стальные электросварные прямошовные со снятой фаской из стали марок БСт2кп-БСт4кп и БСт2пс-БСт4пс наружный диаметр 108 мм, толщина стенки 4 мм</t>
  </si>
  <si>
    <t>ССЦ01-103-0161</t>
  </si>
  <si>
    <t>м</t>
  </si>
  <si>
    <t>3</t>
  </si>
  <si>
    <t>7</t>
  </si>
  <si>
    <t>Надземная прокладка стальных газопроводов на металлических опорах, условный диаметр газопровода 50 мм (57,32, 25)
НР=130% (НР = 157 руб.)
СП=89% (СП = 108 руб.)</t>
  </si>
  <si>
    <t>ТЕР-24-02-041-01</t>
  </si>
  <si>
    <t>4</t>
  </si>
  <si>
    <t>8</t>
  </si>
  <si>
    <t>Трубы стальные электросварные прямошовные со снятой фаской из стали марок БСт2кп-БСт4кп и БСт2пс-БСт4пс наружный диаметр 48 мм, толщина стенки 3,0 мм</t>
  </si>
  <si>
    <t>ССЦ01-103-0136</t>
  </si>
  <si>
    <t>9</t>
  </si>
  <si>
    <t>Установка фасонных частей стальных сварных диаметром 100-250 мм
НР=130% (НР = 579 руб.)
СП=89% (СП = 396 руб.)</t>
  </si>
  <si>
    <t>ТЕР-22-03-001-05</t>
  </si>
  <si>
    <t>т фасонных частей</t>
  </si>
  <si>
    <t>10</t>
  </si>
  <si>
    <t>Монтаж задвижки стальной фланцевой для надземной установки на газопроводах из труб условным диаметром 100 мм
НР=130% (НР = 376 руб.)
СП=89% (СП = 257 руб.)</t>
  </si>
  <si>
    <t>ТЕР-24-02-051-03</t>
  </si>
  <si>
    <t>задвижка</t>
  </si>
  <si>
    <t>12</t>
  </si>
  <si>
    <t>Монтаж задвижки стальной фланцевой для надземной установки на газопроводах из труб условным диаметром 50 мм (32)
НР=130% (НР = 100 руб.)
СП=89% (СП = 69 руб.)</t>
  </si>
  <si>
    <t>ТЕР-24-02-051-01</t>
  </si>
  <si>
    <t>14</t>
  </si>
  <si>
    <t>Очистка полости трубопровода продувкой воздухом, условный диаметр газопровода до 100 мм
НР=130% (НР = 33 руб.)
СП=89% (СП = 22 руб.)</t>
  </si>
  <si>
    <t>ТЕР-24-02-120-02</t>
  </si>
  <si>
    <t>100м трубопровода</t>
  </si>
  <si>
    <t>15</t>
  </si>
  <si>
    <t>Монтаж инвентарного узла для очистки и испытания газопровода, условный диаметр газопровода до 100 мм
НР=130% (НР = 85 руб.)
СП=89% (СП = 58 руб.)</t>
  </si>
  <si>
    <t>ТЕР-24-02-121-02</t>
  </si>
  <si>
    <t>узел</t>
  </si>
  <si>
    <t>16</t>
  </si>
  <si>
    <t>Подъем давления при испытании воздухом газопроводов высокого давления (до 1,2 МПа) условным диаметром до 100 мм
НР=130% (НР = 8 руб.)
СП=89% (СП = 5 руб.)</t>
  </si>
  <si>
    <t>ТЕР-24-02-123-09</t>
  </si>
  <si>
    <t>11</t>
  </si>
  <si>
    <t>17</t>
  </si>
  <si>
    <t>Очистка полости трубопровода продувкой воздухом, условный диаметр газопровода до 50 мм
НР=130% (НР = 3 руб.)
СП=89% (СП = 2 руб.)</t>
  </si>
  <si>
    <t>ТЕР-24-02-120-01</t>
  </si>
  <si>
    <t>18</t>
  </si>
  <si>
    <t>Монтаж инвентарного узла для очистки и испытания газопровода, условный диаметр газопровода до 50 мм
НР=130% (НР = 49 руб.)
СП=89% (СП = 34 руб.)</t>
  </si>
  <si>
    <t>ТЕР-24-02-121-01</t>
  </si>
  <si>
    <t>13</t>
  </si>
  <si>
    <t>19</t>
  </si>
  <si>
    <t>Подъем давления при испытании воздухом газопроводов высокого давления (до 1,2 МПа) условным диаметром до 50 мм
НР=130%
СП=89%</t>
  </si>
  <si>
    <t>ТЕР-24-02-123-08</t>
  </si>
  <si>
    <t>20</t>
  </si>
  <si>
    <t>Выдержка под давлением от 0,6 до 1,2 МПа при испытании на прочность и герметичность газопроводов условным диаметром 50-300 мм
НР=130% (НР = 332 руб.)
СП=89% (СП = 227 руб.)</t>
  </si>
  <si>
    <t>ТЕР-24-02-125-01</t>
  </si>
  <si>
    <t>участок испытания газопр</t>
  </si>
  <si>
    <t>ГРПШ</t>
  </si>
  <si>
    <t>34</t>
  </si>
  <si>
    <t>Монтаж оборудования без механизмов на открытой площадке, масса оборудования 1,5 т
НР=80% (НР = 374 руб.)
СП=60% (СП = 281 руб.)</t>
  </si>
  <si>
    <t>ТЕРм-37-01-001-06</t>
  </si>
  <si>
    <t>шт</t>
  </si>
  <si>
    <t>35</t>
  </si>
  <si>
    <t>Установка регуляторов давления газа диаметром до 50 мм
НР=128% (НР = 65 руб.)
СП=83% (СП = 42 руб.)</t>
  </si>
  <si>
    <t>ТЕР-19-01-005-01</t>
  </si>
  <si>
    <t>регулятор</t>
  </si>
  <si>
    <t>38</t>
  </si>
  <si>
    <t>Монтаж задвижки стальной фланцевой для надземной установки на газопроводах из труб условным диаметром 50 мм
НР=130% (НР = 100 руб.)
СП=89% (СП = 69 руб.)</t>
  </si>
  <si>
    <t>40</t>
  </si>
  <si>
    <t>Надземная прокладка стальных газопроводов на металлических опорах, условный диаметр газопровода 50 мм
НР=130% (НР = 5 руб.)
СП=89% (СП = 4 руб.)</t>
  </si>
  <si>
    <t>41</t>
  </si>
  <si>
    <t>42</t>
  </si>
  <si>
    <t>Установка фасонных частей стальных сварных диаметром 100-250 мм
НР=130% (НР = 5 руб.)
СП=89% (СП = 4 руб.)</t>
  </si>
  <si>
    <t>21</t>
  </si>
  <si>
    <t>43</t>
  </si>
  <si>
    <t>Приварка фланцев к стальным трубопроводам диаметром 50 мм
НР=130% (НР = 12 руб.)
СП=89% (СП = 8 руб.)</t>
  </si>
  <si>
    <t>ТЕР-22-03-014-01</t>
  </si>
  <si>
    <t>фланец</t>
  </si>
  <si>
    <t>ГСН измерительного комплекса</t>
  </si>
  <si>
    <t>22</t>
  </si>
  <si>
    <t>64</t>
  </si>
  <si>
    <t>Прокладка трубопроводов отопления и водоснабжения из стальных электросварных труб диаметром 80 мм
НР=128% (НР = 1 руб.)
СП=83% (СП = 1 руб.)</t>
  </si>
  <si>
    <t>ТЕР-16-02-005-04</t>
  </si>
  <si>
    <t>23</t>
  </si>
  <si>
    <t>65</t>
  </si>
  <si>
    <t>Трубопроводы из стальных электросварных труб с гильзами для отопления и водоснабжения, наружный диаметр 89 мм, толщина стенки 3,5 мм</t>
  </si>
  <si>
    <t>ССЦ01-302-1319</t>
  </si>
  <si>
    <t>24</t>
  </si>
  <si>
    <t>66</t>
  </si>
  <si>
    <t>Прокладка трубопроводов отопления и водоснабжения из стальных электросварных труб диаметром 100 мм
НР=128% (НР = 59 руб.)
СП=83% (СП = 38 руб.)</t>
  </si>
  <si>
    <t>ТЕР-16-02-005-05</t>
  </si>
  <si>
    <t>25</t>
  </si>
  <si>
    <t>67</t>
  </si>
  <si>
    <t>Трубопроводы из стальных электросварных труб с гильзами для отопления и водоснабжения, наружный диаметр 108 мм, толщина стенки 4 мм</t>
  </si>
  <si>
    <t>ССЦ01-302-1320</t>
  </si>
  <si>
    <t>26</t>
  </si>
  <si>
    <t>68</t>
  </si>
  <si>
    <t>Изготовление элементов и сборка узлов стальных трубопроводов диаметром 100 мм
НР=128% (НР = 12 руб.)
СП=83% (СП = 7 руб.)</t>
  </si>
  <si>
    <t>ТЕР-16-02-010-03</t>
  </si>
  <si>
    <t>10м трубопровода</t>
  </si>
  <si>
    <t>27</t>
  </si>
  <si>
    <t>71</t>
  </si>
  <si>
    <t>Установка фланцевых соединений на стальных трубопроводах диаметром 100 мм
НР=128% (НР = 187 руб.)
СП=83% (СП = 121 руб.)</t>
  </si>
  <si>
    <t>ТЕР-16-02-007-04</t>
  </si>
  <si>
    <t>соединение</t>
  </si>
  <si>
    <t>28</t>
  </si>
  <si>
    <t>72</t>
  </si>
  <si>
    <t>Фланцы стальные плоские приварные из стали ВСт3сп2, ВСт3сп3, давлением 1,0 МПа (10 кгс/см2), диаметром 100 мм</t>
  </si>
  <si>
    <t>ССЦ01-507-0986</t>
  </si>
  <si>
    <t>29</t>
  </si>
  <si>
    <t>73</t>
  </si>
  <si>
    <t>Установка фильтров для очистки газа от механических примесей диаметром до 100 мм
НР=128% (НР = 68 руб.)
СП=83% (СП = 44 руб.)</t>
  </si>
  <si>
    <t>ТЕР-19-01-009-02</t>
  </si>
  <si>
    <t>фильтр</t>
  </si>
  <si>
    <t>30</t>
  </si>
  <si>
    <t>74</t>
  </si>
  <si>
    <t>Фильтры фланцевые волосяные ФВ-100 диаметром 100 мм</t>
  </si>
  <si>
    <t>ССЦ01-301-1738</t>
  </si>
  <si>
    <t>31</t>
  </si>
  <si>
    <t>75</t>
  </si>
  <si>
    <t>Установка вентилей, задвижек, затворов, клапанов обратных, кранов проходных на трубопроводах из стальных труб диаметром до 100 мм
НР=128% (НР = 173 руб.)
СП=83% (СП = 112 руб.)</t>
  </si>
  <si>
    <t>ТЕР-16-05-001-03</t>
  </si>
  <si>
    <t>32</t>
  </si>
  <si>
    <t>77</t>
  </si>
  <si>
    <t>Установка вентилей, задвижек, затворов, клапанов обратных, кранов проходных на трубопроводах из стальных труб диаметром до 25 мм
НР=128% (НР = 22 руб.)
СП=83% (СП = 14 руб.)</t>
  </si>
  <si>
    <t>ТЕР-16-05-001-01</t>
  </si>
  <si>
    <t>33</t>
  </si>
  <si>
    <t>79</t>
  </si>
  <si>
    <t>Бобышки, штуцеры на условное давление до 10 МПа
НР=80% (НР = 6 руб.)
СП=60% (СП = 5 руб.)</t>
  </si>
  <si>
    <t>ТЕРм-12-10-001-01</t>
  </si>
  <si>
    <t>100шт</t>
  </si>
  <si>
    <t>80</t>
  </si>
  <si>
    <t>Бобышки скошенные</t>
  </si>
  <si>
    <t>ССЦ01-108-0081</t>
  </si>
  <si>
    <t>81</t>
  </si>
  <si>
    <t>Шкаф металлический
НР=95% (НР = 33 руб.)
СП=65% (СП = 23 руб.)</t>
  </si>
  <si>
    <t>ТЕРм-08-03-573-05</t>
  </si>
  <si>
    <t>36</t>
  </si>
  <si>
    <t>82</t>
  </si>
  <si>
    <t>Пневматическое испытание газопроводов
НР=128% (НР = 31 руб.)
СП=83% (СП = 20 руб.)</t>
  </si>
  <si>
    <t>ТЕР-19-01-015-01</t>
  </si>
  <si>
    <t>АГСН измерительного комплекса</t>
  </si>
  <si>
    <t>37</t>
  </si>
  <si>
    <t>83</t>
  </si>
  <si>
    <t>Ротаметр, счетчик, преобразователь, устанавливаемые на фланцевых соединениях, диаметр условного прохода до 80 мм (ультрозвуковой и измерительный)
НР=80% (НР = 73 руб.)
СП=60% (СП = 55 руб.)</t>
  </si>
  <si>
    <t>ТЕРм-11-02-022-05</t>
  </si>
  <si>
    <t>84</t>
  </si>
  <si>
    <t>Прибор, устанавливаемый на резьбовых соединениях, масса до 1,5 кг (преобразователи ППР, ППД, ППТ, мановакуумметр)
НР=80% (НР = 42 руб.)
СП=60% (СП = 31 руб.)</t>
  </si>
  <si>
    <t>ТЕРм-11-02-001-01</t>
  </si>
  <si>
    <t>39</t>
  </si>
  <si>
    <t>85</t>
  </si>
  <si>
    <t>Модем  
НР=92% (НР = 231 руб.)
СП=65% (СП = 163 руб.)</t>
  </si>
  <si>
    <t>ТЕРм-11-04-004-01</t>
  </si>
  <si>
    <t>86</t>
  </si>
  <si>
    <t>Блок интерфейса и питания БИП
НР=80% (НР = 44 руб.)
СП=60% (СП = 33 руб.)</t>
  </si>
  <si>
    <t>ТЕРм-11-07-001-02</t>
  </si>
  <si>
    <t>87</t>
  </si>
  <si>
    <t>Блок бесперебойного питания
НР=80% (НР = 22 руб.)
СП=60% (СП = 16 руб.)</t>
  </si>
  <si>
    <t>88</t>
  </si>
  <si>
    <t>Кабель до 35 кВ в проложенных трубах, блоках и коробах, масса 1 м кабеля до 1 кг
НР=95% (НР = 11 руб.)
СП=65% (СП = 8 руб.)</t>
  </si>
  <si>
    <t>ТЕРм-08-02-148-01</t>
  </si>
  <si>
    <t>100м кабеля</t>
  </si>
  <si>
    <t>89</t>
  </si>
  <si>
    <t>Труба винипластовая по установленным конструкциям, по стенам и колоннам с креплением скобами, диаметр до 25 мм
НР=95% (НР = 21 руб.)
СП=65% (СП = 14 руб.)</t>
  </si>
  <si>
    <t>ТЕРм-08-02-409-01</t>
  </si>
  <si>
    <t>100м</t>
  </si>
  <si>
    <t>44</t>
  </si>
  <si>
    <t>90</t>
  </si>
  <si>
    <t>Блок управления шкафного исполнения или распределительный пункт (шкаф), устанавливаемый в нише, высота и ширина до 700х850 мм
НР=95% (НР = 29 руб.)
СП=65% (СП = 20 руб.)</t>
  </si>
  <si>
    <t>ТЕРм-08-03-572-08</t>
  </si>
  <si>
    <t>45</t>
  </si>
  <si>
    <t>91</t>
  </si>
  <si>
    <t>Автомат одно-, двух-, трехполюсный, устанавливаемый на конструкции на стене или колонне, на ток до 25 А
НР=95% (НР = 18 руб.)
СП=65% (СП = 12 руб.)</t>
  </si>
  <si>
    <t>ТЕРм-08-03-526-01</t>
  </si>
  <si>
    <t>46</t>
  </si>
  <si>
    <t>92</t>
  </si>
  <si>
    <t>Розетка штепсельная полугерметическая и герметическая
НР=95% (НР = 8 руб.)
СП=65% (СП = 5 руб.)</t>
  </si>
  <si>
    <t>ТЕРм-08-03-591-10</t>
  </si>
  <si>
    <t>47</t>
  </si>
  <si>
    <t>93</t>
  </si>
  <si>
    <t>Аппарат (кнопка, ключ управления, замок электромагнитной блокировки, звуковой сигнал, сигнальная лампа) управления и сигнализации, количество подключаемых концов до 6 - клемма универсальная, разделитель клеммных групп
НР=95% (НР = 41 руб.)
СП=65% (СП = 28 руб.)</t>
  </si>
  <si>
    <t>ТЕРм-08-01-081-02</t>
  </si>
  <si>
    <t>48</t>
  </si>
  <si>
    <t>94</t>
  </si>
  <si>
    <t>Короба пластмассовые шириной до 40 мм
НР=95% (НР = 5 руб.)
СП=65% (СП = 3 руб.)</t>
  </si>
  <si>
    <t>ТЕРм-08-02-390-01</t>
  </si>
  <si>
    <t>49</t>
  </si>
  <si>
    <t>95</t>
  </si>
  <si>
    <t>Провод в лотках, сечением до 6 мм2
НР=95%
СП=65%</t>
  </si>
  <si>
    <t>ТЕРм-08-02-398-01</t>
  </si>
  <si>
    <t>50</t>
  </si>
  <si>
    <t>96</t>
  </si>
  <si>
    <t>Прибор или аппарат - полоска шильдиков, DIN рейка 35мм, шина нулевая 
НР=95% (НР = 121 руб.)
СП=65% (СП = 83 руб.)</t>
  </si>
  <si>
    <t>ТЕРм-08-03-575-01</t>
  </si>
  <si>
    <t>51</t>
  </si>
  <si>
    <t>97</t>
  </si>
  <si>
    <t>Присоединение к приборам электрических проводок под винт с оконцеванием наконечником
НР=80% (НР = 18 руб.)
СП=60% (СП = 14 руб.)</t>
  </si>
  <si>
    <t>ТЕРм-11-08-001-01</t>
  </si>
  <si>
    <t>100концов жил</t>
  </si>
  <si>
    <t>52</t>
  </si>
  <si>
    <t>98</t>
  </si>
  <si>
    <t>Разводка по устройствам и подключение жил кабелей или проводов сечением до 10 мм2
НР=95% (НР = 32 руб.)
СП=65% (СП = 22 руб.)</t>
  </si>
  <si>
    <t>ТЕРм-08-03-574-01</t>
  </si>
  <si>
    <t>100жил</t>
  </si>
  <si>
    <t>ЭМ измерительного комплекса</t>
  </si>
  <si>
    <t>53</t>
  </si>
  <si>
    <t>126</t>
  </si>
  <si>
    <t>54</t>
  </si>
  <si>
    <t>127</t>
  </si>
  <si>
    <t>Труба винипластовая по установленным конструкциям, по стенам и колоннам с креплением скобами, диаметр до 25 мм
НР=95% (НР = 32 руб.)
СП=65% (СП = 22 руб.)</t>
  </si>
  <si>
    <t>55</t>
  </si>
  <si>
    <t>128</t>
  </si>
  <si>
    <t>Провод в лотках, сечением до 6 мм2
НР=95% (НР = 3 руб.)
СП=65% (СП = 2 руб.)</t>
  </si>
  <si>
    <t>56</t>
  </si>
  <si>
    <t>129</t>
  </si>
  <si>
    <t>Присоединение к приборам электрических проводок под винт с оконцеванием наконечником
НР=80% (НР = 4 руб.)
СП=60% (СП = 3 руб.)</t>
  </si>
  <si>
    <t>57</t>
  </si>
  <si>
    <t>130</t>
  </si>
  <si>
    <t>Разводка по устройствам и подключение жил кабелей или проводов сечением до 10 мм2
НР=95% (НР = 7 руб.)
СП=65% (СП = 5 руб.)</t>
  </si>
  <si>
    <t>ПНР</t>
  </si>
  <si>
    <t>58</t>
  </si>
  <si>
    <t>132</t>
  </si>
  <si>
    <t>Установка подачи газообразного топлива (регулятор давления, фильтр, предохранительные устройства), производительность по газу до 1000 м3/ч
НР=65% (НР = 2310 руб.)
СП=40% (СП = 1422 руб.)</t>
  </si>
  <si>
    <t>ТЕРп-07-05-007-01</t>
  </si>
  <si>
    <t>установка</t>
  </si>
  <si>
    <t>59</t>
  </si>
  <si>
    <t>133</t>
  </si>
  <si>
    <t>Технологический комплекс, включающий агрегаты, связанные между собой непрерывным регулированием технологических параметров и взаимоконтролем режимов работы, в количестве до 5 шт.
НР=65% (НР = 2391 руб.)
СП=40% (СП = 1472 руб.)</t>
  </si>
  <si>
    <t>ТЕРп-01-13-021-01</t>
  </si>
  <si>
    <t>комплекс</t>
  </si>
  <si>
    <t>60</t>
  </si>
  <si>
    <t>134</t>
  </si>
  <si>
    <t>Функциональная группа управления дискретная бесконтактная с общим числом элементов и числом «вход-выход» до 5
НР=65% (НР = 220 руб.)
СП=40% (СП = 136 руб.)</t>
  </si>
  <si>
    <t>ТЕРп-01-09-012-01</t>
  </si>
  <si>
    <t>Итого по акту:</t>
  </si>
  <si>
    <t>Итого прямые затраты по смете</t>
  </si>
  <si>
    <t>Основная зарплата</t>
  </si>
  <si>
    <t>Эксплуатация машин</t>
  </si>
  <si>
    <t>Зарплата машинистов</t>
  </si>
  <si>
    <t>Материальные затраты</t>
  </si>
  <si>
    <t>Эксплуатация машин с учетом транспортировки без учета з/п машинистов</t>
  </si>
  <si>
    <t>Трудозатраты основных рабочих</t>
  </si>
  <si>
    <t>Трудозатраты машинистов</t>
  </si>
  <si>
    <t>Накладные расходы</t>
  </si>
  <si>
    <t>Сметная прибыль</t>
  </si>
  <si>
    <t>Итого СМР в ценах 2001 г.</t>
  </si>
  <si>
    <t>ИТОГО  в ценах  2017г. (Прил.3 п.2.4 к Приказу ГК РБ по арх-ре и стр-ву №16 от 20.01.2017г.)</t>
  </si>
  <si>
    <t>Основная зарплата в текущих ценах</t>
  </si>
  <si>
    <t>13,29</t>
  </si>
  <si>
    <t>Накладные расходы в текущих ценах (13,29*0,85)</t>
  </si>
  <si>
    <t>11,2965</t>
  </si>
  <si>
    <t>Сметная прибыль в текущих ценах (13,29*0,8)</t>
  </si>
  <si>
    <t>10,632</t>
  </si>
  <si>
    <t>Эксплуатация машин  в текущих ценах</t>
  </si>
  <si>
    <t>5,36</t>
  </si>
  <si>
    <t>Стоимость материалов в текущих ценах</t>
  </si>
  <si>
    <t>2,93</t>
  </si>
  <si>
    <t>Итого</t>
  </si>
  <si>
    <t xml:space="preserve">Перевозка  рабочих  </t>
  </si>
  <si>
    <t>2,5 %</t>
  </si>
  <si>
    <t>Командировочные расходы  (753,67+75,95)чел-ч/8ч*700руб</t>
  </si>
  <si>
    <t xml:space="preserve">Всего </t>
  </si>
  <si>
    <t>Активы:</t>
  </si>
  <si>
    <t>Строительно-монтажные и пусконаладочные работы по техническому перевооружению перевода с печного топлива на природный газ асфальтосмесительной установки ДС-158 расположенной на земельном участке по адресу: Акбердинский сельсовет Иглинского района РБ. Установка ДС -158, 1993 г.в.(ООО "АРИС")</t>
  </si>
  <si>
    <t>Документ 1</t>
  </si>
  <si>
    <t>Документ 2</t>
  </si>
  <si>
    <t>Документ 3</t>
  </si>
  <si>
    <t>выдержка из договора прилагается (Документ 3)</t>
  </si>
  <si>
    <t>коммерческое предложение прилагается (Документ 2)</t>
  </si>
  <si>
    <t>смета прилагается (Документ 1)</t>
  </si>
  <si>
    <t>Образование Цены</t>
  </si>
  <si>
    <t>Электричество</t>
  </si>
  <si>
    <t>Материалы (щебень, ПГС)</t>
  </si>
  <si>
    <t>Битум</t>
  </si>
  <si>
    <t>Заработная плата</t>
  </si>
  <si>
    <t>Печное топливо</t>
  </si>
  <si>
    <t>Вариант 1 (на печном топливе)</t>
  </si>
  <si>
    <t>Газ</t>
  </si>
  <si>
    <t>р/тонна</t>
  </si>
  <si>
    <t>Вариант 2 (на газе)</t>
  </si>
  <si>
    <t>Существенное снижение цены производства достигается за счёт перевода установки с дорого печного топлива на газовое.</t>
  </si>
  <si>
    <t>Вывод:</t>
  </si>
  <si>
    <t>мокрый (скруббер "Вентури")</t>
  </si>
  <si>
    <t>Повышается производительность в следствие автоматизации процесса.</t>
  </si>
  <si>
    <t>15 кг</t>
  </si>
  <si>
    <t>540 куб.м./час</t>
  </si>
  <si>
    <t>при работе на природном газе</t>
  </si>
  <si>
    <t>1) Земельный участок КН 02:26:16 17 01:0004</t>
  </si>
  <si>
    <t>2) Экскаватор-погрузчик XCMG WZ30-25. 2012 г.в.</t>
  </si>
  <si>
    <t>3) Установка ДС -158, 1993 г.в.</t>
  </si>
  <si>
    <t>Модернизация заключается в переоборудовании установки ДС-158 с печного, на газовое топливо, что позволит существенно:</t>
  </si>
  <si>
    <t>1) Подготовка проэктной документации на газификацию</t>
  </si>
  <si>
    <t>т.р.</t>
  </si>
  <si>
    <t>4)  Демонтаж/монтаж оборудования, пуско-наладочные работы</t>
  </si>
  <si>
    <t>р. - Разница на тонну</t>
  </si>
  <si>
    <t>2 500 000   + стоимость установки и транспортировки  = приблизительно 2 500 000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</si>
</sst>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р_._-;\-* #,##0.00_р_._-;_-* &quot;-&quot;??_р_._-;_-@_-"/>
    <numFmt numFmtId="164" formatCode="_-* #,##0.00\ _₽_-;\-* #,##0.00\ _₽_-;_-* &quot;-&quot;??\ _₽_-;_-@_-"/>
    <numFmt numFmtId="165" formatCode="#,##0.0"/>
    <numFmt numFmtId="166" formatCode="#,##0_ ;\-#,##0\ "/>
  </numFmts>
  <fonts count="26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11"/>
      <color theme="1"/>
      <name val="Calibri"/>
      <family val="2"/>
      <scheme val="minor"/>
    </font>
    <font>
      <b/>
      <sz val="10"/>
      <name val="Arial Cyr"/>
      <charset val="204"/>
    </font>
    <font>
      <sz val="9"/>
      <name val="Arial Cyr"/>
      <charset val="204"/>
    </font>
    <font>
      <b/>
      <u/>
      <sz val="10"/>
      <name val="Arial Cyr"/>
      <charset val="204"/>
    </font>
    <font>
      <b/>
      <u/>
      <sz val="12"/>
      <name val="Arial Cyr"/>
      <charset val="204"/>
    </font>
    <font>
      <b/>
      <sz val="10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8"/>
      <color theme="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2"/>
      <color theme="1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6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sz val="7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7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sz val="14"/>
      <color theme="1"/>
      <name val="Calibri"/>
      <family val="2"/>
      <charset val="204"/>
      <scheme val="minor"/>
    </font>
    <font>
      <sz val="14"/>
      <color theme="1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4F7FD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/>
      <right style="medium">
        <color rgb="FFFFFFFF"/>
      </right>
      <top/>
      <bottom style="medium">
        <color rgb="FFF4F7FD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8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3" fillId="0" borderId="0"/>
    <xf numFmtId="43" fontId="3" fillId="0" borderId="0" applyFont="0" applyFill="0" applyBorder="0" applyAlignment="0" applyProtection="0"/>
    <xf numFmtId="0" fontId="18" fillId="0" borderId="0">
      <alignment horizontal="right" vertical="center"/>
    </xf>
    <xf numFmtId="0" fontId="18" fillId="0" borderId="0">
      <alignment horizontal="left" vertical="center"/>
    </xf>
    <xf numFmtId="0" fontId="18" fillId="0" borderId="0">
      <alignment horizontal="left" vertical="top"/>
    </xf>
    <xf numFmtId="0" fontId="18" fillId="0" borderId="10">
      <alignment horizontal="left" vertical="top"/>
    </xf>
    <xf numFmtId="0" fontId="11" fillId="0" borderId="0">
      <alignment horizontal="center" vertical="center"/>
    </xf>
    <xf numFmtId="0" fontId="19" fillId="0" borderId="0">
      <alignment horizontal="center" vertical="top"/>
    </xf>
    <xf numFmtId="0" fontId="20" fillId="0" borderId="10">
      <alignment horizontal="center" vertical="center"/>
    </xf>
    <xf numFmtId="0" fontId="21" fillId="0" borderId="9">
      <alignment horizontal="center" vertical="center"/>
    </xf>
    <xf numFmtId="0" fontId="20" fillId="0" borderId="10">
      <alignment horizontal="center" vertical="top"/>
    </xf>
    <xf numFmtId="0" fontId="20" fillId="0" borderId="10">
      <alignment horizontal="left" vertical="top"/>
    </xf>
    <xf numFmtId="0" fontId="20" fillId="0" borderId="10">
      <alignment horizontal="right" vertical="top"/>
    </xf>
    <xf numFmtId="0" fontId="21" fillId="0" borderId="21">
      <alignment horizontal="left" vertical="top"/>
    </xf>
    <xf numFmtId="0" fontId="22" fillId="0" borderId="21">
      <alignment horizontal="right" vertical="top"/>
    </xf>
    <xf numFmtId="0" fontId="18" fillId="0" borderId="10">
      <alignment horizontal="right" vertical="top"/>
    </xf>
  </cellStyleXfs>
  <cellXfs count="108">
    <xf numFmtId="0" fontId="0" fillId="0" borderId="0" xfId="0"/>
    <xf numFmtId="0" fontId="2" fillId="0" borderId="0" xfId="1" applyAlignment="1" applyProtection="1"/>
    <xf numFmtId="0" fontId="1" fillId="0" borderId="0" xfId="0" applyFont="1"/>
    <xf numFmtId="0" fontId="3" fillId="0" borderId="0" xfId="2"/>
    <xf numFmtId="165" fontId="4" fillId="4" borderId="3" xfId="2" applyNumberFormat="1" applyFont="1" applyFill="1" applyBorder="1" applyAlignment="1">
      <alignment horizontal="center"/>
    </xf>
    <xf numFmtId="0" fontId="4" fillId="0" borderId="4" xfId="2" applyFont="1" applyBorder="1"/>
    <xf numFmtId="3" fontId="4" fillId="0" borderId="5" xfId="2" applyNumberFormat="1" applyFont="1" applyBorder="1" applyAlignment="1">
      <alignment horizontal="center"/>
    </xf>
    <xf numFmtId="0" fontId="4" fillId="0" borderId="6" xfId="2" applyFont="1" applyBorder="1"/>
    <xf numFmtId="165" fontId="4" fillId="4" borderId="5" xfId="2" applyNumberFormat="1" applyFont="1" applyFill="1" applyBorder="1" applyAlignment="1">
      <alignment horizontal="center"/>
    </xf>
    <xf numFmtId="9" fontId="4" fillId="4" borderId="5" xfId="2" applyNumberFormat="1" applyFont="1" applyFill="1" applyBorder="1" applyAlignment="1">
      <alignment horizontal="center"/>
    </xf>
    <xf numFmtId="9" fontId="4" fillId="0" borderId="5" xfId="2" applyNumberFormat="1" applyFont="1" applyBorder="1" applyAlignment="1">
      <alignment horizontal="center"/>
    </xf>
    <xf numFmtId="0" fontId="4" fillId="0" borderId="7" xfId="2" applyFont="1" applyBorder="1" applyAlignment="1">
      <alignment horizontal="center"/>
    </xf>
    <xf numFmtId="0" fontId="4" fillId="0" borderId="8" xfId="2" applyFont="1" applyBorder="1"/>
    <xf numFmtId="0" fontId="5" fillId="0" borderId="0" xfId="2" applyFont="1"/>
    <xf numFmtId="3" fontId="4" fillId="0" borderId="0" xfId="2" applyNumberFormat="1" applyFont="1"/>
    <xf numFmtId="0" fontId="4" fillId="0" borderId="0" xfId="2" applyFont="1" applyAlignment="1">
      <alignment wrapText="1"/>
    </xf>
    <xf numFmtId="0" fontId="4" fillId="0" borderId="0" xfId="2" applyFont="1"/>
    <xf numFmtId="3" fontId="3" fillId="0" borderId="0" xfId="2" applyNumberFormat="1"/>
    <xf numFmtId="0" fontId="4" fillId="0" borderId="0" xfId="2" applyFont="1" applyAlignment="1">
      <alignment horizontal="center"/>
    </xf>
    <xf numFmtId="0" fontId="6" fillId="0" borderId="0" xfId="2" applyFont="1"/>
    <xf numFmtId="4" fontId="4" fillId="0" borderId="0" xfId="2" applyNumberFormat="1" applyFont="1"/>
    <xf numFmtId="3" fontId="4" fillId="0" borderId="0" xfId="2" applyNumberFormat="1" applyFont="1" applyAlignment="1">
      <alignment horizontal="center"/>
    </xf>
    <xf numFmtId="166" fontId="4" fillId="0" borderId="0" xfId="2" applyNumberFormat="1" applyFont="1" applyAlignment="1">
      <alignment horizontal="center"/>
    </xf>
    <xf numFmtId="43" fontId="3" fillId="0" borderId="0" xfId="2" applyNumberFormat="1"/>
    <xf numFmtId="3" fontId="1" fillId="0" borderId="0" xfId="2" applyNumberFormat="1" applyFont="1" applyAlignment="1">
      <alignment horizontal="center"/>
    </xf>
    <xf numFmtId="0" fontId="1" fillId="0" borderId="0" xfId="2" applyFont="1" applyAlignment="1">
      <alignment horizontal="center"/>
    </xf>
    <xf numFmtId="9" fontId="3" fillId="0" borderId="0" xfId="2" applyNumberFormat="1"/>
    <xf numFmtId="9" fontId="3" fillId="0" borderId="0" xfId="2" applyNumberFormat="1" applyAlignment="1">
      <alignment horizontal="right"/>
    </xf>
    <xf numFmtId="166" fontId="3" fillId="0" borderId="0" xfId="2" applyNumberFormat="1"/>
    <xf numFmtId="43" fontId="3" fillId="0" borderId="0" xfId="2" applyNumberFormat="1" applyAlignment="1">
      <alignment horizontal="center" vertical="center"/>
    </xf>
    <xf numFmtId="166" fontId="3" fillId="0" borderId="0" xfId="2" applyNumberFormat="1" applyAlignment="1">
      <alignment horizontal="center" vertical="center"/>
    </xf>
    <xf numFmtId="0" fontId="7" fillId="0" borderId="0" xfId="2" applyFont="1"/>
    <xf numFmtId="4" fontId="3" fillId="0" borderId="0" xfId="2" applyNumberFormat="1"/>
    <xf numFmtId="0" fontId="3" fillId="0" borderId="0" xfId="2" applyAlignment="1">
      <alignment horizontal="center"/>
    </xf>
    <xf numFmtId="3" fontId="3" fillId="0" borderId="0" xfId="2" applyNumberFormat="1" applyAlignment="1">
      <alignment horizontal="center"/>
    </xf>
    <xf numFmtId="43" fontId="4" fillId="0" borderId="0" xfId="3" applyFont="1"/>
    <xf numFmtId="0" fontId="8" fillId="0" borderId="0" xfId="2" applyFont="1"/>
    <xf numFmtId="0" fontId="9" fillId="0" borderId="0" xfId="0" applyFont="1"/>
    <xf numFmtId="0" fontId="10" fillId="2" borderId="1" xfId="0" applyFont="1" applyFill="1" applyBorder="1" applyAlignment="1">
      <alignment horizontal="left" vertical="top" wrapText="1"/>
    </xf>
    <xf numFmtId="0" fontId="10" fillId="3" borderId="1" xfId="0" applyFont="1" applyFill="1" applyBorder="1" applyAlignment="1">
      <alignment horizontal="left" vertical="top" wrapText="1"/>
    </xf>
    <xf numFmtId="0" fontId="10" fillId="2" borderId="2" xfId="0" applyFont="1" applyFill="1" applyBorder="1" applyAlignment="1">
      <alignment horizontal="left" vertical="top" wrapText="1"/>
    </xf>
    <xf numFmtId="0" fontId="11" fillId="0" borderId="0" xfId="0" applyFont="1"/>
    <xf numFmtId="0" fontId="12" fillId="0" borderId="0" xfId="0" applyFont="1"/>
    <xf numFmtId="0" fontId="9" fillId="0" borderId="0" xfId="2" applyFont="1"/>
    <xf numFmtId="9" fontId="9" fillId="0" borderId="0" xfId="2" applyNumberFormat="1" applyFont="1"/>
    <xf numFmtId="0" fontId="13" fillId="0" borderId="0" xfId="2" applyFont="1" applyAlignment="1">
      <alignment horizontal="center" wrapText="1"/>
    </xf>
    <xf numFmtId="0" fontId="13" fillId="0" borderId="0" xfId="2" applyFont="1"/>
    <xf numFmtId="43" fontId="14" fillId="0" borderId="0" xfId="3" applyFont="1" applyAlignment="1">
      <alignment horizontal="center"/>
    </xf>
    <xf numFmtId="4" fontId="1" fillId="0" borderId="0" xfId="2" applyNumberFormat="1" applyFont="1"/>
    <xf numFmtId="164" fontId="9" fillId="0" borderId="0" xfId="2" applyNumberFormat="1" applyFont="1" applyAlignment="1">
      <alignment horizontal="center"/>
    </xf>
    <xf numFmtId="2" fontId="1" fillId="0" borderId="0" xfId="2" applyNumberFormat="1" applyFont="1"/>
    <xf numFmtId="0" fontId="15" fillId="0" borderId="0" xfId="0" applyFont="1"/>
    <xf numFmtId="3" fontId="11" fillId="0" borderId="0" xfId="0" applyNumberFormat="1" applyFont="1"/>
    <xf numFmtId="0" fontId="1" fillId="0" borderId="0" xfId="2" applyFont="1"/>
    <xf numFmtId="0" fontId="16" fillId="0" borderId="0" xfId="0" applyFont="1"/>
    <xf numFmtId="0" fontId="17" fillId="0" borderId="0" xfId="0" applyFont="1"/>
    <xf numFmtId="0" fontId="0" fillId="0" borderId="0" xfId="0" applyAlignment="1">
      <alignment wrapText="1"/>
    </xf>
    <xf numFmtId="0" fontId="20" fillId="0" borderId="10" xfId="10" quotePrefix="1" applyAlignment="1">
      <alignment horizontal="center" vertical="center" wrapText="1"/>
    </xf>
    <xf numFmtId="0" fontId="20" fillId="0" borderId="10" xfId="10" applyNumberFormat="1" applyAlignment="1">
      <alignment horizontal="center" vertical="center" wrapText="1"/>
    </xf>
    <xf numFmtId="0" fontId="20" fillId="0" borderId="10" xfId="12" quotePrefix="1" applyAlignment="1">
      <alignment horizontal="center" vertical="top" wrapText="1"/>
    </xf>
    <xf numFmtId="0" fontId="20" fillId="0" borderId="10" xfId="13" quotePrefix="1" applyAlignment="1">
      <alignment horizontal="left" vertical="top" wrapText="1"/>
    </xf>
    <xf numFmtId="0" fontId="20" fillId="0" borderId="10" xfId="14" quotePrefix="1" applyAlignment="1">
      <alignment horizontal="right" vertical="top" wrapText="1"/>
    </xf>
    <xf numFmtId="0" fontId="20" fillId="0" borderId="10" xfId="14" applyNumberFormat="1" applyAlignment="1">
      <alignment horizontal="right" vertical="top" wrapText="1"/>
    </xf>
    <xf numFmtId="0" fontId="18" fillId="0" borderId="10" xfId="17" quotePrefix="1" applyAlignment="1">
      <alignment horizontal="right" vertical="top" wrapText="1"/>
    </xf>
    <xf numFmtId="0" fontId="13" fillId="0" borderId="0" xfId="0" applyFont="1"/>
    <xf numFmtId="3" fontId="15" fillId="0" borderId="0" xfId="0" applyNumberFormat="1" applyFont="1"/>
    <xf numFmtId="0" fontId="23" fillId="0" borderId="0" xfId="0" applyFont="1" applyAlignment="1"/>
    <xf numFmtId="0" fontId="23" fillId="0" borderId="0" xfId="0" applyFont="1"/>
    <xf numFmtId="0" fontId="25" fillId="0" borderId="0" xfId="0" applyFont="1"/>
    <xf numFmtId="0" fontId="24" fillId="0" borderId="0" xfId="0" applyFont="1"/>
    <xf numFmtId="0" fontId="18" fillId="0" borderId="12" xfId="7" quotePrefix="1" applyBorder="1" applyAlignment="1">
      <alignment horizontal="left" vertical="top" wrapText="1"/>
    </xf>
    <xf numFmtId="0" fontId="0" fillId="0" borderId="13" xfId="0" applyBorder="1" applyAlignment="1">
      <alignment wrapText="1"/>
    </xf>
    <xf numFmtId="0" fontId="0" fillId="0" borderId="17" xfId="0" applyBorder="1" applyAlignment="1">
      <alignment wrapText="1"/>
    </xf>
    <xf numFmtId="0" fontId="18" fillId="0" borderId="12" xfId="17" applyNumberFormat="1" applyBorder="1" applyAlignment="1">
      <alignment horizontal="right" vertical="top" wrapText="1"/>
    </xf>
    <xf numFmtId="0" fontId="21" fillId="0" borderId="12" xfId="7" quotePrefix="1" applyFont="1" applyBorder="1" applyAlignment="1">
      <alignment horizontal="left" vertical="top" wrapText="1"/>
    </xf>
    <xf numFmtId="0" fontId="1" fillId="0" borderId="17" xfId="0" applyFont="1" applyBorder="1" applyAlignment="1">
      <alignment wrapText="1"/>
    </xf>
    <xf numFmtId="0" fontId="1" fillId="0" borderId="13" xfId="0" applyFont="1" applyBorder="1" applyAlignment="1">
      <alignment wrapText="1"/>
    </xf>
    <xf numFmtId="0" fontId="21" fillId="0" borderId="12" xfId="17" applyNumberFormat="1" applyFont="1" applyBorder="1" applyAlignment="1">
      <alignment horizontal="right" vertical="top" wrapText="1"/>
    </xf>
    <xf numFmtId="0" fontId="0" fillId="0" borderId="13" xfId="0" applyBorder="1" applyAlignment="1">
      <alignment vertical="top" wrapText="1"/>
    </xf>
    <xf numFmtId="0" fontId="0" fillId="0" borderId="17" xfId="0" applyBorder="1" applyAlignment="1">
      <alignment vertical="top" wrapText="1"/>
    </xf>
    <xf numFmtId="0" fontId="18" fillId="0" borderId="12" xfId="17" applyBorder="1" applyAlignment="1">
      <alignment horizontal="right" vertical="top" wrapText="1"/>
    </xf>
    <xf numFmtId="0" fontId="20" fillId="0" borderId="12" xfId="13" quotePrefix="1" applyBorder="1" applyAlignment="1">
      <alignment horizontal="left" vertical="top" wrapText="1"/>
    </xf>
    <xf numFmtId="0" fontId="21" fillId="0" borderId="21" xfId="15" quotePrefix="1" applyAlignment="1">
      <alignment horizontal="left" vertical="top" wrapText="1"/>
    </xf>
    <xf numFmtId="0" fontId="0" fillId="0" borderId="21" xfId="0" applyBorder="1" applyAlignment="1">
      <alignment wrapText="1"/>
    </xf>
    <xf numFmtId="0" fontId="22" fillId="0" borderId="21" xfId="16" applyNumberFormat="1" applyAlignment="1">
      <alignment horizontal="right" vertical="top" wrapText="1"/>
    </xf>
    <xf numFmtId="0" fontId="21" fillId="0" borderId="9" xfId="11" quotePrefix="1" applyAlignment="1">
      <alignment horizontal="center" vertical="center" wrapText="1"/>
    </xf>
    <xf numFmtId="0" fontId="0" fillId="0" borderId="9" xfId="0" applyBorder="1" applyAlignment="1">
      <alignment wrapText="1"/>
    </xf>
    <xf numFmtId="0" fontId="20" fillId="0" borderId="12" xfId="10" applyNumberFormat="1" applyBorder="1" applyAlignment="1">
      <alignment horizontal="center" vertical="center" wrapText="1"/>
    </xf>
    <xf numFmtId="0" fontId="21" fillId="0" borderId="17" xfId="11" quotePrefix="1" applyBorder="1" applyAlignment="1">
      <alignment horizontal="center" vertical="center" wrapText="1"/>
    </xf>
    <xf numFmtId="0" fontId="20" fillId="0" borderId="12" xfId="10" quotePrefix="1" applyBorder="1" applyAlignment="1">
      <alignment horizontal="center" vertical="center" wrapText="1"/>
    </xf>
    <xf numFmtId="0" fontId="20" fillId="0" borderId="14" xfId="10" quotePrefix="1" applyBorder="1" applyAlignment="1">
      <alignment horizontal="center" vertical="center" wrapText="1"/>
    </xf>
    <xf numFmtId="0" fontId="0" fillId="0" borderId="15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19" xfId="0" applyBorder="1" applyAlignment="1">
      <alignment wrapText="1"/>
    </xf>
    <xf numFmtId="0" fontId="20" fillId="0" borderId="16" xfId="10" quotePrefix="1" applyBorder="1" applyAlignment="1">
      <alignment horizontal="center" vertical="center" wrapText="1"/>
    </xf>
    <xf numFmtId="0" fontId="0" fillId="0" borderId="20" xfId="0" applyBorder="1" applyAlignment="1">
      <alignment wrapText="1"/>
    </xf>
    <xf numFmtId="0" fontId="23" fillId="0" borderId="0" xfId="6" applyFont="1" applyAlignment="1">
      <alignment horizontal="left" vertical="center" wrapText="1"/>
    </xf>
    <xf numFmtId="0" fontId="24" fillId="0" borderId="9" xfId="0" applyFont="1" applyBorder="1" applyAlignment="1">
      <alignment wrapText="1"/>
    </xf>
    <xf numFmtId="0" fontId="18" fillId="0" borderId="0" xfId="5" quotePrefix="1" applyAlignment="1">
      <alignment horizontal="left" vertical="center" wrapText="1"/>
    </xf>
    <xf numFmtId="0" fontId="0" fillId="0" borderId="0" xfId="0" applyAlignment="1">
      <alignment wrapText="1"/>
    </xf>
    <xf numFmtId="0" fontId="18" fillId="0" borderId="0" xfId="6" quotePrefix="1" applyAlignment="1">
      <alignment horizontal="left" vertical="center" wrapText="1"/>
    </xf>
    <xf numFmtId="0" fontId="18" fillId="0" borderId="10" xfId="7" quotePrefix="1" applyAlignment="1">
      <alignment horizontal="left" vertical="center" wrapText="1"/>
    </xf>
    <xf numFmtId="0" fontId="18" fillId="0" borderId="11" xfId="7" quotePrefix="1" applyBorder="1" applyAlignment="1">
      <alignment horizontal="left" vertical="center" wrapText="1"/>
    </xf>
    <xf numFmtId="0" fontId="18" fillId="0" borderId="0" xfId="7" quotePrefix="1" applyBorder="1" applyAlignment="1">
      <alignment horizontal="left" vertical="center" wrapText="1"/>
    </xf>
    <xf numFmtId="0" fontId="18" fillId="0" borderId="0" xfId="4" quotePrefix="1" applyAlignment="1">
      <alignment horizontal="left" vertical="center" wrapText="1"/>
    </xf>
    <xf numFmtId="0" fontId="11" fillId="0" borderId="0" xfId="8" quotePrefix="1" applyAlignment="1">
      <alignment horizontal="center" wrapText="1"/>
    </xf>
    <xf numFmtId="0" fontId="19" fillId="0" borderId="0" xfId="9" applyAlignment="1">
      <alignment horizontal="center" vertical="top" wrapText="1"/>
    </xf>
    <xf numFmtId="0" fontId="19" fillId="0" borderId="0" xfId="9" quotePrefix="1" applyAlignment="1">
      <alignment horizontal="center" vertical="top" wrapText="1"/>
    </xf>
  </cellXfs>
  <cellStyles count="18">
    <cellStyle name="S10" xfId="10"/>
    <cellStyle name="S11" xfId="11"/>
    <cellStyle name="S12" xfId="12"/>
    <cellStyle name="S13" xfId="13"/>
    <cellStyle name="S14" xfId="14"/>
    <cellStyle name="S15" xfId="15"/>
    <cellStyle name="S16" xfId="16"/>
    <cellStyle name="S17" xfId="17"/>
    <cellStyle name="S2" xfId="4"/>
    <cellStyle name="S3" xfId="5"/>
    <cellStyle name="S4" xfId="6"/>
    <cellStyle name="S5" xfId="7"/>
    <cellStyle name="S8" xfId="8"/>
    <cellStyle name="S9" xfId="9"/>
    <cellStyle name="Гиперссылка" xfId="1" builtinId="8"/>
    <cellStyle name="Обычный" xfId="0" builtinId="0"/>
    <cellStyle name="Обычный 2" xfId="2"/>
    <cellStyle name="Финансовый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5</xdr:col>
      <xdr:colOff>468600</xdr:colOff>
      <xdr:row>57</xdr:row>
      <xdr:rowOff>65700</xdr:rowOff>
    </xdr:to>
    <xdr:pic>
      <xdr:nvPicPr>
        <xdr:cNvPr id="2" name="Рисунок 1" descr="IMG_1966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819775"/>
          <a:ext cx="9993600" cy="7495200"/>
        </a:xfrm>
        <a:prstGeom prst="rect">
          <a:avLst/>
        </a:prstGeom>
      </xdr:spPr>
    </xdr:pic>
    <xdr:clientData/>
  </xdr:twoCellAnchor>
  <xdr:twoCellAnchor editAs="oneCell">
    <xdr:from>
      <xdr:col>1</xdr:col>
      <xdr:colOff>2505075</xdr:colOff>
      <xdr:row>1</xdr:row>
      <xdr:rowOff>57151</xdr:rowOff>
    </xdr:from>
    <xdr:to>
      <xdr:col>6</xdr:col>
      <xdr:colOff>342900</xdr:colOff>
      <xdr:row>17</xdr:row>
      <xdr:rowOff>114301</xdr:rowOff>
    </xdr:to>
    <xdr:pic>
      <xdr:nvPicPr>
        <xdr:cNvPr id="4" name="Рисунок 3" descr="55555555555555555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886325" y="352426"/>
          <a:ext cx="5591175" cy="5143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28</xdr:row>
      <xdr:rowOff>0</xdr:rowOff>
    </xdr:from>
    <xdr:to>
      <xdr:col>19</xdr:col>
      <xdr:colOff>600925</xdr:colOff>
      <xdr:row>58</xdr:row>
      <xdr:rowOff>239209</xdr:rowOff>
    </xdr:to>
    <xdr:pic>
      <xdr:nvPicPr>
        <xdr:cNvPr id="2" name="Рисунок 1" descr="Снимок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62675" y="5514975"/>
          <a:ext cx="6087325" cy="7763959"/>
        </a:xfrm>
        <a:prstGeom prst="rect">
          <a:avLst/>
        </a:prstGeom>
      </xdr:spPr>
    </xdr:pic>
    <xdr:clientData/>
  </xdr:twoCellAnchor>
  <xdr:twoCellAnchor editAs="oneCell">
    <xdr:from>
      <xdr:col>9</xdr:col>
      <xdr:colOff>561975</xdr:colOff>
      <xdr:row>90</xdr:row>
      <xdr:rowOff>161925</xdr:rowOff>
    </xdr:from>
    <xdr:to>
      <xdr:col>19</xdr:col>
      <xdr:colOff>557175</xdr:colOff>
      <xdr:row>130</xdr:row>
      <xdr:rowOff>34875</xdr:rowOff>
    </xdr:to>
    <xdr:pic>
      <xdr:nvPicPr>
        <xdr:cNvPr id="4" name="Рисунок 3" descr="IMG_20200226_110947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15050" y="21259800"/>
          <a:ext cx="6091200" cy="8121600"/>
        </a:xfrm>
        <a:prstGeom prst="rect">
          <a:avLst/>
        </a:prstGeom>
      </xdr:spPr>
    </xdr:pic>
    <xdr:clientData/>
  </xdr:twoCellAnchor>
  <xdr:twoCellAnchor editAs="oneCell">
    <xdr:from>
      <xdr:col>11</xdr:col>
      <xdr:colOff>228600</xdr:colOff>
      <xdr:row>57</xdr:row>
      <xdr:rowOff>66675</xdr:rowOff>
    </xdr:from>
    <xdr:to>
      <xdr:col>19</xdr:col>
      <xdr:colOff>419949</xdr:colOff>
      <xdr:row>84</xdr:row>
      <xdr:rowOff>180975</xdr:rowOff>
    </xdr:to>
    <xdr:pic>
      <xdr:nvPicPr>
        <xdr:cNvPr id="6" name="Рисунок 5" descr="22222222222222222222222222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086600" y="12858750"/>
          <a:ext cx="5068149" cy="7058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tabSelected="1" workbookViewId="0">
      <selection activeCell="H7" sqref="H7"/>
    </sheetView>
  </sheetViews>
  <sheetFormatPr defaultRowHeight="15" x14ac:dyDescent="0.25"/>
  <cols>
    <col min="1" max="1" width="35.7109375" customWidth="1"/>
    <col min="2" max="2" width="79.7109375" customWidth="1"/>
  </cols>
  <sheetData>
    <row r="1" spans="1:2" ht="23.25" x14ac:dyDescent="0.35">
      <c r="A1" s="42" t="s">
        <v>88</v>
      </c>
      <c r="B1" s="2"/>
    </row>
    <row r="2" spans="1:2" x14ac:dyDescent="0.25">
      <c r="A2" s="37" t="s">
        <v>90</v>
      </c>
      <c r="B2" s="37"/>
    </row>
    <row r="3" spans="1:2" ht="15.75" x14ac:dyDescent="0.25">
      <c r="A3" s="41"/>
      <c r="B3" s="37"/>
    </row>
    <row r="4" spans="1:2" x14ac:dyDescent="0.25">
      <c r="A4" s="37" t="s">
        <v>89</v>
      </c>
      <c r="B4" s="37"/>
    </row>
    <row r="5" spans="1:2" ht="43.5" customHeight="1" thickBot="1" x14ac:dyDescent="0.3">
      <c r="A5" s="38" t="s">
        <v>1</v>
      </c>
      <c r="B5" s="38" t="s">
        <v>2</v>
      </c>
    </row>
    <row r="6" spans="1:2" ht="28.5" customHeight="1" thickBot="1" x14ac:dyDescent="0.3">
      <c r="A6" s="39" t="s">
        <v>3</v>
      </c>
      <c r="B6" s="39" t="s">
        <v>4</v>
      </c>
    </row>
    <row r="7" spans="1:2" ht="27" customHeight="1" thickBot="1" x14ac:dyDescent="0.3">
      <c r="A7" s="38" t="s">
        <v>5</v>
      </c>
      <c r="B7" s="38" t="s">
        <v>6</v>
      </c>
    </row>
    <row r="8" spans="1:2" ht="28.5" customHeight="1" thickBot="1" x14ac:dyDescent="0.3">
      <c r="A8" s="39" t="s">
        <v>7</v>
      </c>
      <c r="B8" s="39" t="s">
        <v>8</v>
      </c>
    </row>
    <row r="9" spans="1:2" ht="18" customHeight="1" thickBot="1" x14ac:dyDescent="0.3">
      <c r="A9" s="38" t="s">
        <v>9</v>
      </c>
      <c r="B9" s="38" t="s">
        <v>10</v>
      </c>
    </row>
    <row r="10" spans="1:2" ht="17.25" customHeight="1" thickBot="1" x14ac:dyDescent="0.3">
      <c r="A10" s="39" t="s">
        <v>11</v>
      </c>
      <c r="B10" s="39" t="s">
        <v>12</v>
      </c>
    </row>
    <row r="11" spans="1:2" ht="15.75" customHeight="1" thickBot="1" x14ac:dyDescent="0.3">
      <c r="A11" s="38" t="s">
        <v>13</v>
      </c>
      <c r="B11" s="38" t="s">
        <v>14</v>
      </c>
    </row>
    <row r="12" spans="1:2" ht="24.75" customHeight="1" thickBot="1" x14ac:dyDescent="0.3">
      <c r="A12" s="39" t="s">
        <v>15</v>
      </c>
      <c r="B12" s="39" t="s">
        <v>402</v>
      </c>
    </row>
    <row r="13" spans="1:2" ht="29.25" customHeight="1" thickBot="1" x14ac:dyDescent="0.3">
      <c r="A13" s="38" t="s">
        <v>16</v>
      </c>
      <c r="B13" s="38"/>
    </row>
    <row r="14" spans="1:2" ht="30" customHeight="1" thickBot="1" x14ac:dyDescent="0.3">
      <c r="A14" s="39" t="s">
        <v>17</v>
      </c>
      <c r="B14" s="39" t="s">
        <v>404</v>
      </c>
    </row>
    <row r="15" spans="1:2" ht="24" customHeight="1" thickBot="1" x14ac:dyDescent="0.3">
      <c r="A15" s="38" t="s">
        <v>406</v>
      </c>
      <c r="B15" s="38" t="s">
        <v>405</v>
      </c>
    </row>
    <row r="16" spans="1:2" ht="34.5" customHeight="1" thickBot="1" x14ac:dyDescent="0.3">
      <c r="A16" s="39" t="s">
        <v>18</v>
      </c>
      <c r="B16" s="39" t="s">
        <v>19</v>
      </c>
    </row>
    <row r="17" spans="1:2" ht="33.75" customHeight="1" thickBot="1" x14ac:dyDescent="0.3">
      <c r="A17" s="40" t="s">
        <v>20</v>
      </c>
      <c r="B17" s="40" t="s">
        <v>21</v>
      </c>
    </row>
  </sheetData>
  <pageMargins left="0.7" right="0.7" top="0.75" bottom="0.75" header="0.3" footer="0.3"/>
  <pageSetup paperSize="9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"/>
  <sheetViews>
    <sheetView workbookViewId="0">
      <selection activeCell="H8" sqref="H8"/>
    </sheetView>
  </sheetViews>
  <sheetFormatPr defaultRowHeight="15" x14ac:dyDescent="0.25"/>
  <cols>
    <col min="6" max="6" width="10.7109375" customWidth="1"/>
    <col min="7" max="8" width="11.42578125" bestFit="1" customWidth="1"/>
  </cols>
  <sheetData>
    <row r="1" spans="1:15" ht="19.5" customHeight="1" x14ac:dyDescent="0.3">
      <c r="A1" s="41"/>
      <c r="B1" s="55" t="s">
        <v>382</v>
      </c>
      <c r="C1" s="51"/>
      <c r="D1" s="51"/>
      <c r="E1" s="51"/>
      <c r="F1" s="51"/>
      <c r="G1" s="52"/>
      <c r="H1" s="41"/>
      <c r="I1" s="51"/>
      <c r="J1" s="51"/>
      <c r="K1" s="51"/>
      <c r="L1" s="51"/>
      <c r="M1" s="51"/>
      <c r="N1" s="51"/>
    </row>
    <row r="2" spans="1:15" ht="15.75" x14ac:dyDescent="0.25">
      <c r="A2" s="41" t="s">
        <v>407</v>
      </c>
      <c r="B2" s="51"/>
      <c r="C2" s="51"/>
      <c r="D2" s="51"/>
      <c r="E2" s="51"/>
      <c r="F2" s="51"/>
      <c r="G2" s="65">
        <v>1500000</v>
      </c>
      <c r="H2" s="51" t="s">
        <v>0</v>
      </c>
      <c r="I2" s="51"/>
      <c r="J2" s="51"/>
      <c r="K2" s="51"/>
      <c r="L2" s="51"/>
      <c r="M2" s="51"/>
      <c r="N2" s="51"/>
      <c r="O2" s="64"/>
    </row>
    <row r="3" spans="1:15" ht="15.75" x14ac:dyDescent="0.25">
      <c r="A3" s="41" t="s">
        <v>408</v>
      </c>
      <c r="B3" s="51"/>
      <c r="C3" s="51"/>
      <c r="D3" s="51"/>
      <c r="E3" s="51"/>
      <c r="F3" s="51"/>
      <c r="G3" s="65">
        <v>1500000</v>
      </c>
      <c r="H3" s="51"/>
      <c r="I3" s="51"/>
      <c r="J3" s="51"/>
      <c r="K3" s="51"/>
      <c r="L3" s="51"/>
      <c r="M3" s="51"/>
      <c r="N3" s="51"/>
      <c r="O3" s="64"/>
    </row>
    <row r="4" spans="1:15" ht="15.75" x14ac:dyDescent="0.25">
      <c r="A4" s="41" t="s">
        <v>409</v>
      </c>
      <c r="B4" s="51"/>
      <c r="C4" s="51"/>
      <c r="D4" s="51"/>
      <c r="E4" s="51"/>
      <c r="F4" s="51"/>
      <c r="G4" s="51" t="s">
        <v>415</v>
      </c>
      <c r="H4" s="65"/>
      <c r="I4" s="51"/>
      <c r="J4" s="51"/>
      <c r="K4" s="51"/>
      <c r="L4" s="51"/>
      <c r="M4" s="51"/>
      <c r="N4" s="51"/>
      <c r="O4" s="64"/>
    </row>
    <row r="5" spans="1:15" ht="15.75" x14ac:dyDescent="0.25">
      <c r="A5" s="2"/>
      <c r="F5" s="41" t="s">
        <v>81</v>
      </c>
      <c r="G5" s="41"/>
      <c r="H5" s="41" t="s">
        <v>99</v>
      </c>
      <c r="I5" s="54"/>
    </row>
    <row r="6" spans="1:15" x14ac:dyDescent="0.25">
      <c r="F6" s="1"/>
    </row>
    <row r="7" spans="1:15" x14ac:dyDescent="0.25">
      <c r="F7" s="1"/>
    </row>
    <row r="8" spans="1:15" x14ac:dyDescent="0.25">
      <c r="A8" s="2"/>
    </row>
    <row r="9" spans="1:15" x14ac:dyDescent="0.25">
      <c r="E9" s="1"/>
    </row>
    <row r="10" spans="1:15" x14ac:dyDescent="0.25">
      <c r="E10" s="1"/>
    </row>
    <row r="11" spans="1:15" x14ac:dyDescent="0.25">
      <c r="E11" s="1"/>
    </row>
    <row r="12" spans="1:15" x14ac:dyDescent="0.25">
      <c r="E12" s="1"/>
    </row>
  </sheetData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O70"/>
  <sheetViews>
    <sheetView topLeftCell="C16" workbookViewId="0">
      <selection activeCell="F3" sqref="F3"/>
    </sheetView>
  </sheetViews>
  <sheetFormatPr defaultColWidth="19.28515625" defaultRowHeight="15" x14ac:dyDescent="0.25"/>
  <cols>
    <col min="1" max="1" width="4.85546875" style="3" customWidth="1"/>
    <col min="2" max="2" width="6.85546875" style="3" customWidth="1"/>
    <col min="3" max="3" width="34" style="3" customWidth="1"/>
    <col min="4" max="16384" width="19.28515625" style="3"/>
  </cols>
  <sheetData>
    <row r="2" spans="3:6" ht="15.75" x14ac:dyDescent="0.25">
      <c r="C2" s="31" t="s">
        <v>85</v>
      </c>
    </row>
    <row r="3" spans="3:6" x14ac:dyDescent="0.25">
      <c r="C3" s="43" t="s">
        <v>80</v>
      </c>
      <c r="D3" s="44">
        <v>1</v>
      </c>
    </row>
    <row r="4" spans="3:6" x14ac:dyDescent="0.25">
      <c r="C4" s="16" t="s">
        <v>87</v>
      </c>
      <c r="D4" s="35">
        <v>8000000</v>
      </c>
    </row>
    <row r="5" spans="3:6" x14ac:dyDescent="0.25">
      <c r="C5" s="16" t="s">
        <v>94</v>
      </c>
      <c r="D5" s="47">
        <v>74368</v>
      </c>
      <c r="E5" s="3" t="s">
        <v>95</v>
      </c>
    </row>
    <row r="6" spans="3:6" x14ac:dyDescent="0.25">
      <c r="C6" s="36" t="s">
        <v>83</v>
      </c>
      <c r="D6" s="33">
        <v>448</v>
      </c>
      <c r="E6" s="3" t="s">
        <v>95</v>
      </c>
    </row>
    <row r="7" spans="3:6" ht="57.75" x14ac:dyDescent="0.25">
      <c r="C7" s="43" t="s">
        <v>82</v>
      </c>
      <c r="D7" s="49">
        <f>D5-D5*75%</f>
        <v>18592</v>
      </c>
      <c r="E7" s="45" t="s">
        <v>84</v>
      </c>
      <c r="F7" s="43" t="s">
        <v>97</v>
      </c>
    </row>
    <row r="8" spans="3:6" x14ac:dyDescent="0.25">
      <c r="D8" s="34"/>
      <c r="E8" s="17"/>
    </row>
    <row r="9" spans="3:6" x14ac:dyDescent="0.25">
      <c r="D9" s="33"/>
    </row>
    <row r="10" spans="3:6" ht="15.75" x14ac:dyDescent="0.25">
      <c r="C10" s="31" t="s">
        <v>79</v>
      </c>
      <c r="D10" s="48">
        <f>D7*D11/12</f>
        <v>309866.66666666669</v>
      </c>
      <c r="E10" s="46" t="s">
        <v>93</v>
      </c>
    </row>
    <row r="11" spans="3:6" x14ac:dyDescent="0.25">
      <c r="C11" s="53" t="s">
        <v>92</v>
      </c>
      <c r="D11" s="50">
        <v>200</v>
      </c>
    </row>
    <row r="12" spans="3:6" ht="15.75" x14ac:dyDescent="0.25">
      <c r="C12" s="31"/>
    </row>
    <row r="13" spans="3:6" ht="15.75" x14ac:dyDescent="0.25">
      <c r="C13" s="31" t="s">
        <v>78</v>
      </c>
      <c r="D13" s="32">
        <v>0</v>
      </c>
    </row>
    <row r="15" spans="3:6" ht="15.75" x14ac:dyDescent="0.25">
      <c r="C15" s="31" t="s">
        <v>77</v>
      </c>
    </row>
    <row r="16" spans="3:6" x14ac:dyDescent="0.25">
      <c r="C16" s="3" t="s">
        <v>76</v>
      </c>
      <c r="D16" s="26">
        <v>0.05</v>
      </c>
    </row>
    <row r="17" spans="3:15" x14ac:dyDescent="0.25">
      <c r="C17" s="3" t="s">
        <v>75</v>
      </c>
      <c r="D17" s="26">
        <v>0.05</v>
      </c>
    </row>
    <row r="18" spans="3:15" x14ac:dyDescent="0.25">
      <c r="C18" s="3" t="s">
        <v>74</v>
      </c>
      <c r="D18" s="26">
        <v>0.15</v>
      </c>
    </row>
    <row r="19" spans="3:15" x14ac:dyDescent="0.25">
      <c r="C19" s="3" t="s">
        <v>73</v>
      </c>
      <c r="D19" s="17">
        <v>0</v>
      </c>
    </row>
    <row r="20" spans="3:15" x14ac:dyDescent="0.25">
      <c r="C20" s="3" t="s">
        <v>96</v>
      </c>
      <c r="D20" s="28">
        <v>0</v>
      </c>
    </row>
    <row r="21" spans="3:15" x14ac:dyDescent="0.25">
      <c r="C21" s="3" t="s">
        <v>72</v>
      </c>
      <c r="D21" s="28">
        <v>100</v>
      </c>
    </row>
    <row r="22" spans="3:15" x14ac:dyDescent="0.25">
      <c r="C22" s="3" t="s">
        <v>71</v>
      </c>
      <c r="D22" s="30">
        <f>D23/D21</f>
        <v>80000</v>
      </c>
    </row>
    <row r="23" spans="3:15" x14ac:dyDescent="0.25">
      <c r="C23" s="3" t="s">
        <v>70</v>
      </c>
      <c r="D23" s="29">
        <f>D4</f>
        <v>8000000</v>
      </c>
      <c r="E23" s="28">
        <f>D23-D22</f>
        <v>7920000</v>
      </c>
      <c r="F23" s="28">
        <f t="shared" ref="F23:N23" si="0">E23-$D$22</f>
        <v>7840000</v>
      </c>
      <c r="G23" s="28">
        <f t="shared" si="0"/>
        <v>7760000</v>
      </c>
      <c r="H23" s="28">
        <f t="shared" si="0"/>
        <v>7680000</v>
      </c>
      <c r="I23" s="28">
        <f t="shared" si="0"/>
        <v>7600000</v>
      </c>
      <c r="J23" s="28">
        <f t="shared" si="0"/>
        <v>7520000</v>
      </c>
      <c r="K23" s="28">
        <f t="shared" si="0"/>
        <v>7440000</v>
      </c>
      <c r="L23" s="28">
        <f t="shared" si="0"/>
        <v>7360000</v>
      </c>
      <c r="M23" s="28">
        <f t="shared" si="0"/>
        <v>7280000</v>
      </c>
      <c r="N23" s="28">
        <f t="shared" si="0"/>
        <v>7200000</v>
      </c>
    </row>
    <row r="24" spans="3:15" x14ac:dyDescent="0.25">
      <c r="C24" s="3" t="s">
        <v>69</v>
      </c>
      <c r="D24" s="26">
        <v>0.01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</row>
    <row r="25" spans="3:15" x14ac:dyDescent="0.25">
      <c r="C25" s="3" t="s">
        <v>68</v>
      </c>
      <c r="D25" s="27">
        <v>1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</row>
    <row r="26" spans="3:15" x14ac:dyDescent="0.25">
      <c r="D26" s="26"/>
      <c r="E26" s="23"/>
      <c r="F26" s="23"/>
      <c r="G26" s="23"/>
      <c r="H26" s="23"/>
      <c r="I26" s="23"/>
      <c r="J26" s="23"/>
      <c r="K26" s="23"/>
      <c r="L26" s="23"/>
      <c r="M26" s="23"/>
      <c r="N26" s="23"/>
    </row>
    <row r="27" spans="3:15" x14ac:dyDescent="0.25">
      <c r="D27" s="25" t="s">
        <v>67</v>
      </c>
      <c r="E27" s="18" t="s">
        <v>66</v>
      </c>
      <c r="F27" s="18" t="s">
        <v>65</v>
      </c>
      <c r="G27" s="18" t="s">
        <v>64</v>
      </c>
      <c r="H27" s="18" t="s">
        <v>63</v>
      </c>
      <c r="I27" s="18" t="s">
        <v>62</v>
      </c>
      <c r="J27" s="18" t="s">
        <v>61</v>
      </c>
      <c r="K27" s="18" t="s">
        <v>60</v>
      </c>
      <c r="L27" s="18" t="s">
        <v>59</v>
      </c>
      <c r="M27" s="18" t="s">
        <v>58</v>
      </c>
      <c r="N27" s="18" t="s">
        <v>57</v>
      </c>
    </row>
    <row r="28" spans="3:15" x14ac:dyDescent="0.25">
      <c r="C28" s="19" t="s">
        <v>56</v>
      </c>
      <c r="E28" s="18"/>
      <c r="F28" s="18"/>
      <c r="G28" s="18"/>
      <c r="H28" s="18"/>
      <c r="I28" s="18"/>
      <c r="J28" s="18"/>
      <c r="K28" s="18"/>
      <c r="L28" s="18"/>
      <c r="M28" s="18"/>
      <c r="N28" s="18"/>
    </row>
    <row r="29" spans="3:15" x14ac:dyDescent="0.25">
      <c r="C29" s="3" t="s">
        <v>55</v>
      </c>
      <c r="E29" s="21">
        <f>D10*12</f>
        <v>3718400</v>
      </c>
      <c r="F29" s="21">
        <f t="shared" ref="F29:N29" si="1">E29*(1+$D$16)</f>
        <v>3904320</v>
      </c>
      <c r="G29" s="21">
        <f>F29*(1+$D$16)</f>
        <v>4099536</v>
      </c>
      <c r="H29" s="21">
        <f>G29*(1+$D$16)</f>
        <v>4304512.8</v>
      </c>
      <c r="I29" s="21">
        <f t="shared" si="1"/>
        <v>4519738.4400000004</v>
      </c>
      <c r="J29" s="21">
        <f t="shared" si="1"/>
        <v>4745725.3620000007</v>
      </c>
      <c r="K29" s="21">
        <f t="shared" si="1"/>
        <v>4983011.6301000006</v>
      </c>
      <c r="L29" s="21">
        <f t="shared" si="1"/>
        <v>5232162.2116050012</v>
      </c>
      <c r="M29" s="21">
        <f t="shared" si="1"/>
        <v>5493770.3221852519</v>
      </c>
      <c r="N29" s="21">
        <f t="shared" si="1"/>
        <v>5768458.8382945145</v>
      </c>
      <c r="O29" s="21"/>
    </row>
    <row r="30" spans="3:15" x14ac:dyDescent="0.25">
      <c r="C30" s="3" t="s">
        <v>91</v>
      </c>
      <c r="E30" s="21">
        <v>2400000</v>
      </c>
      <c r="F30" s="21">
        <f>E30*(1+$D$17)</f>
        <v>2520000</v>
      </c>
      <c r="G30" s="21">
        <f t="shared" ref="G30:N31" si="2">F30*(1+$D$17)</f>
        <v>2646000</v>
      </c>
      <c r="H30" s="21">
        <f t="shared" si="2"/>
        <v>2778300</v>
      </c>
      <c r="I30" s="21">
        <f t="shared" si="2"/>
        <v>2917215</v>
      </c>
      <c r="J30" s="21">
        <f t="shared" si="2"/>
        <v>3063075.75</v>
      </c>
      <c r="K30" s="21">
        <f t="shared" si="2"/>
        <v>3216229.5375000001</v>
      </c>
      <c r="L30" s="21">
        <f t="shared" si="2"/>
        <v>3377041.0143750003</v>
      </c>
      <c r="M30" s="21">
        <f t="shared" si="2"/>
        <v>3545893.0650937506</v>
      </c>
      <c r="N30" s="21">
        <f t="shared" si="2"/>
        <v>3723187.7183484384</v>
      </c>
    </row>
    <row r="31" spans="3:15" x14ac:dyDescent="0.25">
      <c r="C31" s="3" t="s">
        <v>54</v>
      </c>
      <c r="D31" s="24"/>
      <c r="E31" s="21">
        <f>D20</f>
        <v>0</v>
      </c>
      <c r="F31" s="21">
        <f>E31*(1+$D$17)</f>
        <v>0</v>
      </c>
      <c r="G31" s="21">
        <f t="shared" si="2"/>
        <v>0</v>
      </c>
      <c r="H31" s="21">
        <f t="shared" si="2"/>
        <v>0</v>
      </c>
      <c r="I31" s="21">
        <f t="shared" si="2"/>
        <v>0</v>
      </c>
      <c r="J31" s="21">
        <f t="shared" si="2"/>
        <v>0</v>
      </c>
      <c r="K31" s="21">
        <f t="shared" si="2"/>
        <v>0</v>
      </c>
      <c r="L31" s="21">
        <f t="shared" si="2"/>
        <v>0</v>
      </c>
      <c r="M31" s="21">
        <f t="shared" si="2"/>
        <v>0</v>
      </c>
      <c r="N31" s="21">
        <f t="shared" si="2"/>
        <v>0</v>
      </c>
    </row>
    <row r="32" spans="3:15" x14ac:dyDescent="0.25">
      <c r="C32" s="3" t="s">
        <v>39</v>
      </c>
      <c r="D32" s="24"/>
      <c r="E32" s="21"/>
      <c r="F32" s="21"/>
      <c r="G32" s="21"/>
      <c r="H32" s="21"/>
      <c r="I32" s="21"/>
      <c r="J32" s="21"/>
      <c r="K32" s="21"/>
      <c r="L32" s="21"/>
      <c r="M32" s="21"/>
      <c r="N32" s="21"/>
    </row>
    <row r="33" spans="3:14" x14ac:dyDescent="0.25">
      <c r="C33" s="3" t="s">
        <v>38</v>
      </c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</row>
    <row r="34" spans="3:14" x14ac:dyDescent="0.25">
      <c r="C34" s="3" t="s">
        <v>53</v>
      </c>
      <c r="D34" s="23"/>
      <c r="E34" s="21">
        <f t="shared" ref="E34:N34" si="3">E29-E30-E31-E32-E33</f>
        <v>1318400</v>
      </c>
      <c r="F34" s="21">
        <f t="shared" si="3"/>
        <v>1384320</v>
      </c>
      <c r="G34" s="21">
        <f t="shared" si="3"/>
        <v>1453536</v>
      </c>
      <c r="H34" s="21">
        <f t="shared" si="3"/>
        <v>1526212.7999999998</v>
      </c>
      <c r="I34" s="21">
        <f t="shared" si="3"/>
        <v>1602523.4400000004</v>
      </c>
      <c r="J34" s="21">
        <f t="shared" si="3"/>
        <v>1682649.6120000007</v>
      </c>
      <c r="K34" s="21">
        <f t="shared" si="3"/>
        <v>1766782.0926000006</v>
      </c>
      <c r="L34" s="21">
        <f t="shared" si="3"/>
        <v>1855121.197230001</v>
      </c>
      <c r="M34" s="21">
        <f t="shared" si="3"/>
        <v>1947877.2570915013</v>
      </c>
      <c r="N34" s="21">
        <f t="shared" si="3"/>
        <v>2045271.1199460761</v>
      </c>
    </row>
    <row r="35" spans="3:14" x14ac:dyDescent="0.25">
      <c r="C35" s="3" t="s">
        <v>52</v>
      </c>
      <c r="E35" s="21">
        <f>D22</f>
        <v>80000</v>
      </c>
      <c r="F35" s="21">
        <f t="shared" ref="F35:N35" si="4">E35</f>
        <v>80000</v>
      </c>
      <c r="G35" s="21">
        <f t="shared" si="4"/>
        <v>80000</v>
      </c>
      <c r="H35" s="21">
        <f t="shared" si="4"/>
        <v>80000</v>
      </c>
      <c r="I35" s="21">
        <f t="shared" si="4"/>
        <v>80000</v>
      </c>
      <c r="J35" s="21">
        <f t="shared" si="4"/>
        <v>80000</v>
      </c>
      <c r="K35" s="21">
        <f t="shared" si="4"/>
        <v>80000</v>
      </c>
      <c r="L35" s="21">
        <f t="shared" si="4"/>
        <v>80000</v>
      </c>
      <c r="M35" s="21">
        <f t="shared" si="4"/>
        <v>80000</v>
      </c>
      <c r="N35" s="21">
        <f t="shared" si="4"/>
        <v>80000</v>
      </c>
    </row>
    <row r="36" spans="3:14" x14ac:dyDescent="0.25">
      <c r="C36" s="3" t="s">
        <v>51</v>
      </c>
      <c r="E36" s="22">
        <f>0</f>
        <v>0</v>
      </c>
      <c r="F36" s="22">
        <f>0</f>
        <v>0</v>
      </c>
      <c r="G36" s="22">
        <f>0</f>
        <v>0</v>
      </c>
      <c r="H36" s="22">
        <f>0</f>
        <v>0</v>
      </c>
      <c r="I36" s="22">
        <f>0</f>
        <v>0</v>
      </c>
      <c r="J36" s="22">
        <f>0</f>
        <v>0</v>
      </c>
      <c r="K36" s="22">
        <f>0</f>
        <v>0</v>
      </c>
      <c r="L36" s="22">
        <f>0</f>
        <v>0</v>
      </c>
      <c r="M36" s="22">
        <f>0</f>
        <v>0</v>
      </c>
      <c r="N36" s="22">
        <f>0</f>
        <v>0</v>
      </c>
    </row>
    <row r="37" spans="3:14" x14ac:dyDescent="0.25">
      <c r="C37" s="3" t="s">
        <v>50</v>
      </c>
      <c r="E37" s="21">
        <f t="shared" ref="E37:N37" si="5">IF(D40&lt;0,D40,0)</f>
        <v>0</v>
      </c>
      <c r="F37" s="21">
        <f t="shared" si="5"/>
        <v>0</v>
      </c>
      <c r="G37" s="21">
        <f t="shared" si="5"/>
        <v>0</v>
      </c>
      <c r="H37" s="21">
        <f t="shared" si="5"/>
        <v>0</v>
      </c>
      <c r="I37" s="21">
        <f t="shared" si="5"/>
        <v>0</v>
      </c>
      <c r="J37" s="21">
        <f t="shared" si="5"/>
        <v>0</v>
      </c>
      <c r="K37" s="21">
        <f t="shared" si="5"/>
        <v>0</v>
      </c>
      <c r="L37" s="21">
        <f t="shared" si="5"/>
        <v>0</v>
      </c>
      <c r="M37" s="21">
        <f t="shared" si="5"/>
        <v>0</v>
      </c>
      <c r="N37" s="21">
        <f t="shared" si="5"/>
        <v>0</v>
      </c>
    </row>
    <row r="38" spans="3:14" x14ac:dyDescent="0.25">
      <c r="C38" s="3" t="s">
        <v>49</v>
      </c>
      <c r="E38" s="21">
        <f t="shared" ref="E38:N38" si="6">E34-E36</f>
        <v>1318400</v>
      </c>
      <c r="F38" s="21">
        <f t="shared" si="6"/>
        <v>1384320</v>
      </c>
      <c r="G38" s="21">
        <f t="shared" si="6"/>
        <v>1453536</v>
      </c>
      <c r="H38" s="21">
        <f t="shared" si="6"/>
        <v>1526212.7999999998</v>
      </c>
      <c r="I38" s="21">
        <f t="shared" si="6"/>
        <v>1602523.4400000004</v>
      </c>
      <c r="J38" s="21">
        <f t="shared" si="6"/>
        <v>1682649.6120000007</v>
      </c>
      <c r="K38" s="21">
        <f t="shared" si="6"/>
        <v>1766782.0926000006</v>
      </c>
      <c r="L38" s="21">
        <f t="shared" si="6"/>
        <v>1855121.197230001</v>
      </c>
      <c r="M38" s="21">
        <f t="shared" si="6"/>
        <v>1947877.2570915013</v>
      </c>
      <c r="N38" s="21">
        <f t="shared" si="6"/>
        <v>2045271.1199460761</v>
      </c>
    </row>
    <row r="39" spans="3:14" x14ac:dyDescent="0.25">
      <c r="C39" s="3" t="s">
        <v>36</v>
      </c>
      <c r="E39" s="21">
        <f>E29*1%</f>
        <v>37184</v>
      </c>
      <c r="F39" s="21">
        <f t="shared" ref="F39:N39" si="7">F29*1%</f>
        <v>39043.200000000004</v>
      </c>
      <c r="G39" s="21">
        <f t="shared" si="7"/>
        <v>40995.360000000001</v>
      </c>
      <c r="H39" s="21">
        <f t="shared" si="7"/>
        <v>43045.127999999997</v>
      </c>
      <c r="I39" s="21">
        <f t="shared" si="7"/>
        <v>45197.384400000003</v>
      </c>
      <c r="J39" s="21">
        <f t="shared" si="7"/>
        <v>47457.25362000001</v>
      </c>
      <c r="K39" s="21">
        <f t="shared" si="7"/>
        <v>49830.116301000009</v>
      </c>
      <c r="L39" s="21">
        <f t="shared" si="7"/>
        <v>52321.622116050014</v>
      </c>
      <c r="M39" s="21">
        <f t="shared" si="7"/>
        <v>54937.70322185252</v>
      </c>
      <c r="N39" s="21">
        <f t="shared" si="7"/>
        <v>57684.588382945149</v>
      </c>
    </row>
    <row r="40" spans="3:14" x14ac:dyDescent="0.25">
      <c r="C40" s="16" t="s">
        <v>48</v>
      </c>
      <c r="D40" s="16"/>
      <c r="E40" s="21">
        <f t="shared" ref="E40:N40" si="8">E38-E39</f>
        <v>1281216</v>
      </c>
      <c r="F40" s="21">
        <f t="shared" si="8"/>
        <v>1345276.8</v>
      </c>
      <c r="G40" s="21">
        <f t="shared" si="8"/>
        <v>1412540.64</v>
      </c>
      <c r="H40" s="21">
        <f t="shared" si="8"/>
        <v>1483167.6719999998</v>
      </c>
      <c r="I40" s="21">
        <f t="shared" si="8"/>
        <v>1557326.0556000003</v>
      </c>
      <c r="J40" s="21">
        <f t="shared" si="8"/>
        <v>1635192.3583800006</v>
      </c>
      <c r="K40" s="21">
        <f t="shared" si="8"/>
        <v>1716951.9762990004</v>
      </c>
      <c r="L40" s="21">
        <f t="shared" si="8"/>
        <v>1802799.575113951</v>
      </c>
      <c r="M40" s="21">
        <f t="shared" si="8"/>
        <v>1892939.5538696488</v>
      </c>
      <c r="N40" s="21">
        <f t="shared" si="8"/>
        <v>1987586.5315631309</v>
      </c>
    </row>
    <row r="41" spans="3:14" x14ac:dyDescent="0.25">
      <c r="E41" s="21"/>
      <c r="F41" s="21"/>
      <c r="G41" s="21"/>
      <c r="H41" s="21"/>
      <c r="I41" s="21"/>
      <c r="J41" s="21"/>
      <c r="K41" s="21"/>
      <c r="L41" s="21"/>
      <c r="M41" s="21"/>
      <c r="N41" s="21"/>
    </row>
    <row r="42" spans="3:14" x14ac:dyDescent="0.25">
      <c r="E42" s="18"/>
      <c r="F42" s="18"/>
      <c r="G42" s="18"/>
      <c r="H42" s="18"/>
      <c r="I42" s="18"/>
      <c r="J42" s="18"/>
      <c r="K42" s="18"/>
      <c r="L42" s="18"/>
      <c r="M42" s="18"/>
      <c r="N42" s="18"/>
    </row>
    <row r="43" spans="3:14" x14ac:dyDescent="0.25">
      <c r="C43" s="16" t="s">
        <v>47</v>
      </c>
      <c r="E43" s="18"/>
      <c r="F43" s="18"/>
      <c r="G43" s="18"/>
      <c r="H43" s="18"/>
      <c r="I43" s="18"/>
      <c r="J43" s="18"/>
      <c r="K43" s="18"/>
      <c r="L43" s="18"/>
      <c r="M43" s="18"/>
      <c r="N43" s="18"/>
    </row>
    <row r="44" spans="3:14" x14ac:dyDescent="0.25">
      <c r="C44" s="16" t="s">
        <v>46</v>
      </c>
      <c r="D44" s="14">
        <f>SUM(E40:N40)/10</f>
        <v>1611499.7162825731</v>
      </c>
      <c r="E44" s="18"/>
      <c r="F44" s="18"/>
      <c r="G44" s="18"/>
      <c r="H44" s="18"/>
      <c r="I44" s="18"/>
      <c r="J44" s="18"/>
      <c r="K44" s="18"/>
      <c r="L44" s="18"/>
      <c r="M44" s="18"/>
      <c r="N44" s="18"/>
    </row>
    <row r="45" spans="3:14" x14ac:dyDescent="0.25">
      <c r="C45" s="16" t="s">
        <v>45</v>
      </c>
      <c r="D45" s="14">
        <f>D4</f>
        <v>8000000</v>
      </c>
      <c r="E45" s="18"/>
      <c r="F45" s="18"/>
      <c r="G45" s="18"/>
      <c r="H45" s="18"/>
      <c r="I45" s="18"/>
      <c r="J45" s="18"/>
      <c r="K45" s="18"/>
      <c r="L45" s="18"/>
      <c r="M45" s="18"/>
      <c r="N45" s="18"/>
    </row>
    <row r="46" spans="3:14" x14ac:dyDescent="0.25">
      <c r="C46" s="16" t="s">
        <v>44</v>
      </c>
      <c r="D46" s="20">
        <f>D45/D44</f>
        <v>4.9643198315011166</v>
      </c>
      <c r="E46" s="18"/>
      <c r="F46" s="18"/>
      <c r="G46" s="18"/>
      <c r="H46" s="18"/>
      <c r="I46" s="18"/>
      <c r="J46" s="18"/>
      <c r="K46" s="18"/>
      <c r="L46" s="18"/>
      <c r="M46" s="18"/>
      <c r="N46" s="18"/>
    </row>
    <row r="47" spans="3:14" x14ac:dyDescent="0.25">
      <c r="C47" s="16"/>
      <c r="E47" s="18"/>
      <c r="F47" s="18"/>
      <c r="G47" s="18"/>
      <c r="H47" s="18"/>
      <c r="I47" s="18"/>
      <c r="J47" s="18"/>
      <c r="K47" s="18"/>
      <c r="L47" s="18"/>
      <c r="M47" s="18"/>
      <c r="N47" s="18"/>
    </row>
    <row r="48" spans="3:14" x14ac:dyDescent="0.25">
      <c r="C48" s="19" t="s">
        <v>43</v>
      </c>
      <c r="E48" s="18"/>
      <c r="F48" s="18"/>
      <c r="G48" s="18"/>
      <c r="H48" s="18"/>
      <c r="I48" s="18"/>
      <c r="J48" s="18"/>
      <c r="K48" s="18"/>
      <c r="L48" s="18"/>
      <c r="M48" s="18"/>
      <c r="N48" s="18"/>
    </row>
    <row r="49" spans="3:15" x14ac:dyDescent="0.25">
      <c r="C49" s="3" t="s">
        <v>42</v>
      </c>
      <c r="D49" s="17">
        <f>-D4</f>
        <v>-8000000</v>
      </c>
      <c r="F49" s="17"/>
      <c r="G49" s="17"/>
      <c r="H49" s="17"/>
      <c r="I49" s="17"/>
      <c r="J49" s="17"/>
      <c r="K49" s="17"/>
      <c r="L49" s="17"/>
      <c r="M49" s="17"/>
      <c r="N49" s="17"/>
    </row>
    <row r="50" spans="3:15" x14ac:dyDescent="0.25">
      <c r="C50" s="3" t="s">
        <v>41</v>
      </c>
      <c r="E50" s="17">
        <f t="shared" ref="E50:N50" si="9">E29</f>
        <v>3718400</v>
      </c>
      <c r="F50" s="17">
        <f t="shared" si="9"/>
        <v>3904320</v>
      </c>
      <c r="G50" s="17">
        <f t="shared" si="9"/>
        <v>4099536</v>
      </c>
      <c r="H50" s="17">
        <f t="shared" si="9"/>
        <v>4304512.8</v>
      </c>
      <c r="I50" s="17">
        <f t="shared" si="9"/>
        <v>4519738.4400000004</v>
      </c>
      <c r="J50" s="17">
        <f t="shared" si="9"/>
        <v>4745725.3620000007</v>
      </c>
      <c r="K50" s="17">
        <f t="shared" si="9"/>
        <v>4983011.6301000006</v>
      </c>
      <c r="L50" s="17">
        <f t="shared" si="9"/>
        <v>5232162.2116050012</v>
      </c>
      <c r="M50" s="17">
        <f t="shared" si="9"/>
        <v>5493770.3221852519</v>
      </c>
      <c r="N50" s="17">
        <f t="shared" si="9"/>
        <v>5768458.8382945145</v>
      </c>
    </row>
    <row r="51" spans="3:15" x14ac:dyDescent="0.25">
      <c r="C51" s="3" t="s">
        <v>40</v>
      </c>
      <c r="E51" s="17">
        <f>-E30-E31</f>
        <v>-2400000</v>
      </c>
      <c r="F51" s="17">
        <f>-F30-F31</f>
        <v>-2520000</v>
      </c>
      <c r="G51" s="17">
        <f>-G30-G31</f>
        <v>-2646000</v>
      </c>
      <c r="H51" s="17">
        <f t="shared" ref="H51:N51" si="10">-H30-H31</f>
        <v>-2778300</v>
      </c>
      <c r="I51" s="17">
        <f t="shared" si="10"/>
        <v>-2917215</v>
      </c>
      <c r="J51" s="17">
        <f t="shared" si="10"/>
        <v>-3063075.75</v>
      </c>
      <c r="K51" s="17">
        <f t="shared" si="10"/>
        <v>-3216229.5375000001</v>
      </c>
      <c r="L51" s="17">
        <f t="shared" si="10"/>
        <v>-3377041.0143750003</v>
      </c>
      <c r="M51" s="17">
        <f t="shared" si="10"/>
        <v>-3545893.0650937506</v>
      </c>
      <c r="N51" s="17">
        <f t="shared" si="10"/>
        <v>-3723187.7183484384</v>
      </c>
    </row>
    <row r="52" spans="3:15" x14ac:dyDescent="0.25">
      <c r="C52" s="3" t="s">
        <v>39</v>
      </c>
      <c r="E52" s="17">
        <f t="shared" ref="E52:N52" si="11">-E32</f>
        <v>0</v>
      </c>
      <c r="F52" s="17">
        <f t="shared" si="11"/>
        <v>0</v>
      </c>
      <c r="G52" s="17">
        <f t="shared" si="11"/>
        <v>0</v>
      </c>
      <c r="H52" s="17">
        <f t="shared" si="11"/>
        <v>0</v>
      </c>
      <c r="I52" s="17">
        <f t="shared" si="11"/>
        <v>0</v>
      </c>
      <c r="J52" s="17">
        <f t="shared" si="11"/>
        <v>0</v>
      </c>
      <c r="K52" s="17">
        <f t="shared" si="11"/>
        <v>0</v>
      </c>
      <c r="L52" s="17">
        <f t="shared" si="11"/>
        <v>0</v>
      </c>
      <c r="M52" s="17">
        <f t="shared" si="11"/>
        <v>0</v>
      </c>
      <c r="N52" s="17">
        <f t="shared" si="11"/>
        <v>0</v>
      </c>
    </row>
    <row r="53" spans="3:15" x14ac:dyDescent="0.25">
      <c r="C53" s="3" t="s">
        <v>38</v>
      </c>
      <c r="D53" s="17">
        <f>-D33</f>
        <v>0</v>
      </c>
      <c r="E53" s="17">
        <f t="shared" ref="E53:N53" si="12">-E33</f>
        <v>0</v>
      </c>
      <c r="F53" s="17">
        <f t="shared" si="12"/>
        <v>0</v>
      </c>
      <c r="G53" s="17">
        <f t="shared" si="12"/>
        <v>0</v>
      </c>
      <c r="H53" s="17">
        <f t="shared" si="12"/>
        <v>0</v>
      </c>
      <c r="I53" s="17">
        <f t="shared" si="12"/>
        <v>0</v>
      </c>
      <c r="J53" s="17">
        <f t="shared" si="12"/>
        <v>0</v>
      </c>
      <c r="K53" s="17">
        <f t="shared" si="12"/>
        <v>0</v>
      </c>
      <c r="L53" s="17">
        <f t="shared" si="12"/>
        <v>0</v>
      </c>
      <c r="M53" s="17">
        <f t="shared" si="12"/>
        <v>0</v>
      </c>
      <c r="N53" s="17">
        <f t="shared" si="12"/>
        <v>0</v>
      </c>
    </row>
    <row r="54" spans="3:15" x14ac:dyDescent="0.25">
      <c r="C54" s="3" t="s">
        <v>37</v>
      </c>
      <c r="E54" s="17">
        <f t="shared" ref="E54:N54" si="13">-E36</f>
        <v>0</v>
      </c>
      <c r="F54" s="17">
        <f t="shared" si="13"/>
        <v>0</v>
      </c>
      <c r="G54" s="17">
        <f t="shared" si="13"/>
        <v>0</v>
      </c>
      <c r="H54" s="17">
        <f t="shared" si="13"/>
        <v>0</v>
      </c>
      <c r="I54" s="17">
        <f t="shared" si="13"/>
        <v>0</v>
      </c>
      <c r="J54" s="17">
        <f t="shared" si="13"/>
        <v>0</v>
      </c>
      <c r="K54" s="17">
        <f t="shared" si="13"/>
        <v>0</v>
      </c>
      <c r="L54" s="17">
        <f t="shared" si="13"/>
        <v>0</v>
      </c>
      <c r="M54" s="17">
        <f t="shared" si="13"/>
        <v>0</v>
      </c>
      <c r="N54" s="17">
        <f t="shared" si="13"/>
        <v>0</v>
      </c>
    </row>
    <row r="55" spans="3:15" x14ac:dyDescent="0.25">
      <c r="C55" s="3" t="s">
        <v>36</v>
      </c>
      <c r="E55" s="17">
        <f>-E39</f>
        <v>-37184</v>
      </c>
      <c r="F55" s="17">
        <f t="shared" ref="F55:N55" si="14">-F39</f>
        <v>-39043.200000000004</v>
      </c>
      <c r="G55" s="17">
        <f t="shared" si="14"/>
        <v>-40995.360000000001</v>
      </c>
      <c r="H55" s="17">
        <f t="shared" si="14"/>
        <v>-43045.127999999997</v>
      </c>
      <c r="I55" s="17">
        <f t="shared" si="14"/>
        <v>-45197.384400000003</v>
      </c>
      <c r="J55" s="17">
        <f t="shared" si="14"/>
        <v>-47457.25362000001</v>
      </c>
      <c r="K55" s="17">
        <f t="shared" si="14"/>
        <v>-49830.116301000009</v>
      </c>
      <c r="L55" s="17">
        <f t="shared" si="14"/>
        <v>-52321.622116050014</v>
      </c>
      <c r="M55" s="17">
        <f t="shared" si="14"/>
        <v>-54937.70322185252</v>
      </c>
      <c r="N55" s="17">
        <f t="shared" si="14"/>
        <v>-57684.588382945149</v>
      </c>
    </row>
    <row r="56" spans="3:15" x14ac:dyDescent="0.25">
      <c r="C56" s="3" t="s">
        <v>35</v>
      </c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>
        <f>N34*7</f>
        <v>14316897.839622533</v>
      </c>
    </row>
    <row r="57" spans="3:15" x14ac:dyDescent="0.25">
      <c r="C57" s="16" t="s">
        <v>34</v>
      </c>
      <c r="D57" s="14">
        <f t="shared" ref="D57:O57" si="15">SUM(D49:D56)</f>
        <v>-8000000</v>
      </c>
      <c r="E57" s="14">
        <f t="shared" si="15"/>
        <v>1281216</v>
      </c>
      <c r="F57" s="14">
        <f t="shared" si="15"/>
        <v>1345276.8</v>
      </c>
      <c r="G57" s="14">
        <f t="shared" si="15"/>
        <v>1412540.64</v>
      </c>
      <c r="H57" s="14">
        <f t="shared" si="15"/>
        <v>1483167.6719999998</v>
      </c>
      <c r="I57" s="14">
        <f t="shared" si="15"/>
        <v>1557326.0556000003</v>
      </c>
      <c r="J57" s="14">
        <f t="shared" si="15"/>
        <v>1635192.3583800006</v>
      </c>
      <c r="K57" s="14">
        <f t="shared" si="15"/>
        <v>1716951.9762990004</v>
      </c>
      <c r="L57" s="14">
        <f t="shared" si="15"/>
        <v>1802799.575113951</v>
      </c>
      <c r="M57" s="14">
        <f t="shared" si="15"/>
        <v>1892939.5538696488</v>
      </c>
      <c r="N57" s="14">
        <f t="shared" si="15"/>
        <v>1987586.5315631309</v>
      </c>
      <c r="O57" s="14">
        <f t="shared" si="15"/>
        <v>14316897.839622533</v>
      </c>
    </row>
    <row r="58" spans="3:15" x14ac:dyDescent="0.25">
      <c r="C58" s="16" t="s">
        <v>33</v>
      </c>
      <c r="D58" s="14">
        <f>D57</f>
        <v>-8000000</v>
      </c>
      <c r="E58" s="14">
        <f>E57</f>
        <v>1281216</v>
      </c>
      <c r="F58" s="14">
        <f>E58+F57</f>
        <v>2626492.7999999998</v>
      </c>
      <c r="G58" s="14">
        <f>F58+G57</f>
        <v>4039033.4399999995</v>
      </c>
      <c r="H58" s="14">
        <f t="shared" ref="H58:O58" si="16">G58+H57</f>
        <v>5522201.1119999997</v>
      </c>
      <c r="I58" s="14">
        <f t="shared" si="16"/>
        <v>7079527.1676000003</v>
      </c>
      <c r="J58" s="14">
        <f t="shared" si="16"/>
        <v>8714719.5259800013</v>
      </c>
      <c r="K58" s="14">
        <f t="shared" si="16"/>
        <v>10431671.502279002</v>
      </c>
      <c r="L58" s="14">
        <f t="shared" si="16"/>
        <v>12234471.077392953</v>
      </c>
      <c r="M58" s="14">
        <f t="shared" si="16"/>
        <v>14127410.6312626</v>
      </c>
      <c r="N58" s="14">
        <f t="shared" si="16"/>
        <v>16114997.162825732</v>
      </c>
      <c r="O58" s="14">
        <f t="shared" si="16"/>
        <v>30431895.002448265</v>
      </c>
    </row>
    <row r="59" spans="3:15" ht="26.25" x14ac:dyDescent="0.25">
      <c r="C59" s="15" t="s">
        <v>32</v>
      </c>
      <c r="D59" s="14">
        <f t="shared" ref="D59:O59" si="17">D57/(1+$D$18)^D61</f>
        <v>-8000000</v>
      </c>
      <c r="E59" s="14">
        <f t="shared" si="17"/>
        <v>1114100.8695652175</v>
      </c>
      <c r="F59" s="14">
        <f t="shared" si="17"/>
        <v>1017222.5330812857</v>
      </c>
      <c r="G59" s="14">
        <f t="shared" si="17"/>
        <v>928768.39976986952</v>
      </c>
      <c r="H59" s="14">
        <f t="shared" si="17"/>
        <v>848005.93022466346</v>
      </c>
      <c r="I59" s="14">
        <f t="shared" si="17"/>
        <v>774266.2841181712</v>
      </c>
      <c r="J59" s="14">
        <f t="shared" si="17"/>
        <v>706938.78115137387</v>
      </c>
      <c r="K59" s="14">
        <f t="shared" si="17"/>
        <v>645465.84365995019</v>
      </c>
      <c r="L59" s="14">
        <f t="shared" si="17"/>
        <v>589338.37899386778</v>
      </c>
      <c r="M59" s="14">
        <f t="shared" si="17"/>
        <v>538091.56342918368</v>
      </c>
      <c r="N59" s="14">
        <f t="shared" si="17"/>
        <v>491300.99269621121</v>
      </c>
      <c r="O59" s="14">
        <f t="shared" si="17"/>
        <v>3077320.1609251061</v>
      </c>
    </row>
    <row r="60" spans="3:15" ht="26.25" x14ac:dyDescent="0.25">
      <c r="C60" s="15" t="s">
        <v>31</v>
      </c>
      <c r="D60" s="14">
        <f>D59</f>
        <v>-8000000</v>
      </c>
      <c r="E60" s="14">
        <f t="shared" ref="E60:O60" si="18">D60+E59</f>
        <v>-6885899.1304347822</v>
      </c>
      <c r="F60" s="14">
        <f t="shared" si="18"/>
        <v>-5868676.5973534966</v>
      </c>
      <c r="G60" s="14">
        <f t="shared" si="18"/>
        <v>-4939908.197583627</v>
      </c>
      <c r="H60" s="14">
        <f t="shared" si="18"/>
        <v>-4091902.2673589634</v>
      </c>
      <c r="I60" s="14">
        <f t="shared" si="18"/>
        <v>-3317635.9832407921</v>
      </c>
      <c r="J60" s="14">
        <f t="shared" si="18"/>
        <v>-2610697.2020894182</v>
      </c>
      <c r="K60" s="14">
        <f t="shared" si="18"/>
        <v>-1965231.358429468</v>
      </c>
      <c r="L60" s="14">
        <f t="shared" si="18"/>
        <v>-1375892.9794356003</v>
      </c>
      <c r="M60" s="14">
        <f t="shared" si="18"/>
        <v>-837801.41600641666</v>
      </c>
      <c r="N60" s="14">
        <f t="shared" si="18"/>
        <v>-346500.42331020546</v>
      </c>
      <c r="O60" s="14">
        <f t="shared" si="18"/>
        <v>2730819.7376149008</v>
      </c>
    </row>
    <row r="61" spans="3:15" x14ac:dyDescent="0.25">
      <c r="C61" s="13" t="s">
        <v>30</v>
      </c>
      <c r="D61" s="3">
        <v>0</v>
      </c>
      <c r="E61" s="3">
        <v>1</v>
      </c>
      <c r="F61" s="3">
        <v>2</v>
      </c>
      <c r="G61" s="3">
        <v>3</v>
      </c>
      <c r="H61" s="3">
        <v>4</v>
      </c>
      <c r="I61" s="3">
        <v>5</v>
      </c>
      <c r="J61" s="3">
        <v>6</v>
      </c>
      <c r="K61" s="3">
        <v>7</v>
      </c>
      <c r="L61" s="3">
        <v>8</v>
      </c>
      <c r="M61" s="3">
        <v>9</v>
      </c>
      <c r="N61" s="3">
        <v>10</v>
      </c>
      <c r="O61" s="3">
        <v>11</v>
      </c>
    </row>
    <row r="62" spans="3:15" ht="15.75" thickBot="1" x14ac:dyDescent="0.3"/>
    <row r="63" spans="3:15" x14ac:dyDescent="0.25">
      <c r="C63" s="12" t="s">
        <v>29</v>
      </c>
      <c r="D63" s="11" t="s">
        <v>28</v>
      </c>
    </row>
    <row r="64" spans="3:15" x14ac:dyDescent="0.25">
      <c r="C64" s="7" t="s">
        <v>27</v>
      </c>
      <c r="D64" s="10">
        <f>D18</f>
        <v>0.15</v>
      </c>
    </row>
    <row r="65" spans="3:5" x14ac:dyDescent="0.25">
      <c r="C65" s="7" t="s">
        <v>26</v>
      </c>
      <c r="D65" s="6">
        <f>SUM(D59:O59)</f>
        <v>2730819.7376149008</v>
      </c>
    </row>
    <row r="66" spans="3:5" x14ac:dyDescent="0.25">
      <c r="C66" s="7" t="s">
        <v>25</v>
      </c>
      <c r="D66" s="9">
        <f>IRR(D57:O57)</f>
        <v>0.20552567898576957</v>
      </c>
    </row>
    <row r="67" spans="3:5" x14ac:dyDescent="0.25">
      <c r="C67" s="7" t="s">
        <v>24</v>
      </c>
      <c r="D67" s="8">
        <f>1/D66</f>
        <v>4.8655720537443852</v>
      </c>
    </row>
    <row r="68" spans="3:5" x14ac:dyDescent="0.25">
      <c r="C68" s="7" t="s">
        <v>86</v>
      </c>
      <c r="D68" s="6">
        <f>SUM(E40:N40)/10</f>
        <v>1611499.7162825731</v>
      </c>
      <c r="E68" s="43"/>
    </row>
    <row r="69" spans="3:5" x14ac:dyDescent="0.25">
      <c r="C69" s="7" t="s">
        <v>23</v>
      </c>
      <c r="D69" s="6">
        <f>(D4)*D25</f>
        <v>8000000</v>
      </c>
    </row>
    <row r="70" spans="3:5" ht="15.75" thickBot="1" x14ac:dyDescent="0.3">
      <c r="C70" s="5" t="s">
        <v>22</v>
      </c>
      <c r="D70" s="4">
        <f>D69/D68</f>
        <v>4.9643198315011166</v>
      </c>
      <c r="E70" s="43"/>
    </row>
  </sheetData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O70"/>
  <sheetViews>
    <sheetView topLeftCell="C1" workbookViewId="0">
      <selection activeCell="F8" sqref="F8"/>
    </sheetView>
  </sheetViews>
  <sheetFormatPr defaultColWidth="19.28515625" defaultRowHeight="15" x14ac:dyDescent="0.25"/>
  <cols>
    <col min="1" max="1" width="4.85546875" style="3" customWidth="1"/>
    <col min="2" max="2" width="6.85546875" style="3" customWidth="1"/>
    <col min="3" max="3" width="34" style="3" customWidth="1"/>
    <col min="4" max="16384" width="19.28515625" style="3"/>
  </cols>
  <sheetData>
    <row r="2" spans="3:6" ht="15.75" x14ac:dyDescent="0.25">
      <c r="C2" s="31" t="s">
        <v>85</v>
      </c>
    </row>
    <row r="3" spans="3:6" x14ac:dyDescent="0.25">
      <c r="C3" s="43" t="s">
        <v>80</v>
      </c>
      <c r="D3" s="44">
        <v>1</v>
      </c>
    </row>
    <row r="4" spans="3:6" x14ac:dyDescent="0.25">
      <c r="C4" s="16" t="s">
        <v>87</v>
      </c>
      <c r="D4" s="35">
        <v>13000000</v>
      </c>
    </row>
    <row r="5" spans="3:6" x14ac:dyDescent="0.25">
      <c r="C5" s="16" t="s">
        <v>94</v>
      </c>
      <c r="D5" s="47">
        <v>74368</v>
      </c>
      <c r="E5" s="3" t="s">
        <v>95</v>
      </c>
    </row>
    <row r="6" spans="3:6" x14ac:dyDescent="0.25">
      <c r="C6" s="36" t="s">
        <v>83</v>
      </c>
      <c r="D6" s="33">
        <v>448</v>
      </c>
      <c r="E6" s="3" t="s">
        <v>95</v>
      </c>
    </row>
    <row r="7" spans="3:6" ht="57.75" x14ac:dyDescent="0.25">
      <c r="C7" s="43" t="s">
        <v>82</v>
      </c>
      <c r="D7" s="49">
        <f>D5-D5*55%</f>
        <v>33465.599999999999</v>
      </c>
      <c r="E7" s="45" t="s">
        <v>84</v>
      </c>
      <c r="F7" s="43" t="s">
        <v>98</v>
      </c>
    </row>
    <row r="8" spans="3:6" x14ac:dyDescent="0.25">
      <c r="D8" s="34"/>
      <c r="E8" s="17"/>
    </row>
    <row r="9" spans="3:6" x14ac:dyDescent="0.25">
      <c r="D9" s="33"/>
    </row>
    <row r="10" spans="3:6" ht="15.75" x14ac:dyDescent="0.25">
      <c r="C10" s="31" t="s">
        <v>79</v>
      </c>
      <c r="D10" s="48">
        <f>D7*D11/12</f>
        <v>1394400</v>
      </c>
      <c r="E10" s="46" t="s">
        <v>93</v>
      </c>
    </row>
    <row r="11" spans="3:6" x14ac:dyDescent="0.25">
      <c r="C11" s="53" t="s">
        <v>92</v>
      </c>
      <c r="D11" s="50">
        <v>500</v>
      </c>
    </row>
    <row r="12" spans="3:6" ht="15.75" x14ac:dyDescent="0.25">
      <c r="C12" s="31"/>
    </row>
    <row r="13" spans="3:6" ht="15.75" x14ac:dyDescent="0.25">
      <c r="C13" s="31" t="s">
        <v>78</v>
      </c>
      <c r="D13" s="32">
        <v>0</v>
      </c>
    </row>
    <row r="15" spans="3:6" ht="15.75" x14ac:dyDescent="0.25">
      <c r="C15" s="31" t="s">
        <v>77</v>
      </c>
    </row>
    <row r="16" spans="3:6" x14ac:dyDescent="0.25">
      <c r="C16" s="3" t="s">
        <v>76</v>
      </c>
      <c r="D16" s="26">
        <v>0.05</v>
      </c>
    </row>
    <row r="17" spans="3:15" x14ac:dyDescent="0.25">
      <c r="C17" s="3" t="s">
        <v>75</v>
      </c>
      <c r="D17" s="26">
        <v>0.05</v>
      </c>
    </row>
    <row r="18" spans="3:15" x14ac:dyDescent="0.25">
      <c r="C18" s="3" t="s">
        <v>74</v>
      </c>
      <c r="D18" s="26">
        <v>0.15</v>
      </c>
    </row>
    <row r="19" spans="3:15" x14ac:dyDescent="0.25">
      <c r="C19" s="3" t="s">
        <v>73</v>
      </c>
      <c r="D19" s="17">
        <v>0</v>
      </c>
    </row>
    <row r="20" spans="3:15" x14ac:dyDescent="0.25">
      <c r="C20" s="3" t="s">
        <v>96</v>
      </c>
      <c r="D20" s="28">
        <v>80000</v>
      </c>
    </row>
    <row r="21" spans="3:15" x14ac:dyDescent="0.25">
      <c r="C21" s="3" t="s">
        <v>72</v>
      </c>
      <c r="D21" s="28">
        <v>51</v>
      </c>
    </row>
    <row r="22" spans="3:15" x14ac:dyDescent="0.25">
      <c r="C22" s="3" t="s">
        <v>71</v>
      </c>
      <c r="D22" s="30">
        <f>D23/D21</f>
        <v>254901.96078431373</v>
      </c>
    </row>
    <row r="23" spans="3:15" x14ac:dyDescent="0.25">
      <c r="C23" s="3" t="s">
        <v>70</v>
      </c>
      <c r="D23" s="29">
        <f>D4</f>
        <v>13000000</v>
      </c>
      <c r="E23" s="28">
        <f>D23-D22</f>
        <v>12745098.039215686</v>
      </c>
      <c r="F23" s="28">
        <f t="shared" ref="F23:N23" si="0">E23-$D$22</f>
        <v>12490196.078431372</v>
      </c>
      <c r="G23" s="28">
        <f t="shared" si="0"/>
        <v>12235294.117647057</v>
      </c>
      <c r="H23" s="28">
        <f t="shared" si="0"/>
        <v>11980392.156862743</v>
      </c>
      <c r="I23" s="28">
        <f t="shared" si="0"/>
        <v>11725490.196078429</v>
      </c>
      <c r="J23" s="28">
        <f t="shared" si="0"/>
        <v>11470588.235294115</v>
      </c>
      <c r="K23" s="28">
        <f t="shared" si="0"/>
        <v>11215686.274509801</v>
      </c>
      <c r="L23" s="28">
        <f t="shared" si="0"/>
        <v>10960784.313725486</v>
      </c>
      <c r="M23" s="28">
        <f t="shared" si="0"/>
        <v>10705882.352941172</v>
      </c>
      <c r="N23" s="28">
        <f t="shared" si="0"/>
        <v>10450980.392156858</v>
      </c>
    </row>
    <row r="24" spans="3:15" x14ac:dyDescent="0.25">
      <c r="C24" s="3" t="s">
        <v>69</v>
      </c>
      <c r="D24" s="26">
        <v>0.01</v>
      </c>
      <c r="E24" s="23"/>
      <c r="F24" s="23"/>
      <c r="G24" s="23"/>
      <c r="H24" s="23"/>
      <c r="I24" s="23"/>
      <c r="J24" s="23"/>
      <c r="K24" s="23"/>
      <c r="L24" s="23"/>
      <c r="M24" s="23"/>
      <c r="N24" s="23"/>
    </row>
    <row r="25" spans="3:15" x14ac:dyDescent="0.25">
      <c r="C25" s="3" t="s">
        <v>68</v>
      </c>
      <c r="D25" s="27">
        <v>1</v>
      </c>
      <c r="E25" s="23"/>
      <c r="F25" s="23"/>
      <c r="G25" s="23"/>
      <c r="H25" s="23"/>
      <c r="I25" s="23"/>
      <c r="J25" s="23"/>
      <c r="K25" s="23"/>
      <c r="L25" s="23"/>
      <c r="M25" s="23"/>
      <c r="N25" s="23"/>
    </row>
    <row r="26" spans="3:15" x14ac:dyDescent="0.25">
      <c r="D26" s="26"/>
      <c r="E26" s="23"/>
      <c r="F26" s="23"/>
      <c r="G26" s="23"/>
      <c r="H26" s="23"/>
      <c r="I26" s="23"/>
      <c r="J26" s="23"/>
      <c r="K26" s="23"/>
      <c r="L26" s="23"/>
      <c r="M26" s="23"/>
      <c r="N26" s="23"/>
    </row>
    <row r="27" spans="3:15" x14ac:dyDescent="0.25">
      <c r="D27" s="25" t="s">
        <v>67</v>
      </c>
      <c r="E27" s="18" t="s">
        <v>66</v>
      </c>
      <c r="F27" s="18" t="s">
        <v>65</v>
      </c>
      <c r="G27" s="18" t="s">
        <v>64</v>
      </c>
      <c r="H27" s="18" t="s">
        <v>63</v>
      </c>
      <c r="I27" s="18" t="s">
        <v>62</v>
      </c>
      <c r="J27" s="18" t="s">
        <v>61</v>
      </c>
      <c r="K27" s="18" t="s">
        <v>60</v>
      </c>
      <c r="L27" s="18" t="s">
        <v>59</v>
      </c>
      <c r="M27" s="18" t="s">
        <v>58</v>
      </c>
      <c r="N27" s="18" t="s">
        <v>57</v>
      </c>
    </row>
    <row r="28" spans="3:15" x14ac:dyDescent="0.25">
      <c r="C28" s="19" t="s">
        <v>56</v>
      </c>
      <c r="E28" s="18"/>
      <c r="F28" s="18"/>
      <c r="G28" s="18"/>
      <c r="H28" s="18"/>
      <c r="I28" s="18"/>
      <c r="J28" s="18"/>
      <c r="K28" s="18"/>
      <c r="L28" s="18"/>
      <c r="M28" s="18"/>
      <c r="N28" s="18"/>
    </row>
    <row r="29" spans="3:15" x14ac:dyDescent="0.25">
      <c r="C29" s="3" t="s">
        <v>55</v>
      </c>
      <c r="E29" s="21">
        <f>D10*12</f>
        <v>16732800</v>
      </c>
      <c r="F29" s="21">
        <f t="shared" ref="F29:N29" si="1">E29*(1+$D$16)</f>
        <v>17569440</v>
      </c>
      <c r="G29" s="21">
        <f>F29*(1+$D$16)</f>
        <v>18447912</v>
      </c>
      <c r="H29" s="21">
        <f>G29*(1+$D$16)</f>
        <v>19370307.600000001</v>
      </c>
      <c r="I29" s="21">
        <f t="shared" si="1"/>
        <v>20338822.980000004</v>
      </c>
      <c r="J29" s="21">
        <f t="shared" si="1"/>
        <v>21355764.129000004</v>
      </c>
      <c r="K29" s="21">
        <f t="shared" si="1"/>
        <v>22423552.335450005</v>
      </c>
      <c r="L29" s="21">
        <f t="shared" si="1"/>
        <v>23544729.952222507</v>
      </c>
      <c r="M29" s="21">
        <f t="shared" si="1"/>
        <v>24721966.449833635</v>
      </c>
      <c r="N29" s="21">
        <f t="shared" si="1"/>
        <v>25958064.772325318</v>
      </c>
      <c r="O29" s="21"/>
    </row>
    <row r="30" spans="3:15" x14ac:dyDescent="0.25">
      <c r="C30" s="3" t="s">
        <v>91</v>
      </c>
      <c r="E30" s="21">
        <v>2400000</v>
      </c>
      <c r="F30" s="21">
        <f>E30*(1+$D$17)</f>
        <v>2520000</v>
      </c>
      <c r="G30" s="21">
        <f t="shared" ref="G30:N31" si="2">F30*(1+$D$17)</f>
        <v>2646000</v>
      </c>
      <c r="H30" s="21">
        <f t="shared" si="2"/>
        <v>2778300</v>
      </c>
      <c r="I30" s="21">
        <f t="shared" si="2"/>
        <v>2917215</v>
      </c>
      <c r="J30" s="21">
        <f t="shared" si="2"/>
        <v>3063075.75</v>
      </c>
      <c r="K30" s="21">
        <f t="shared" si="2"/>
        <v>3216229.5375000001</v>
      </c>
      <c r="L30" s="21">
        <f t="shared" si="2"/>
        <v>3377041.0143750003</v>
      </c>
      <c r="M30" s="21">
        <f t="shared" si="2"/>
        <v>3545893.0650937506</v>
      </c>
      <c r="N30" s="21">
        <f t="shared" si="2"/>
        <v>3723187.7183484384</v>
      </c>
    </row>
    <row r="31" spans="3:15" x14ac:dyDescent="0.25">
      <c r="C31" s="3" t="s">
        <v>54</v>
      </c>
      <c r="D31" s="24"/>
      <c r="E31" s="21">
        <f>D20</f>
        <v>80000</v>
      </c>
      <c r="F31" s="21">
        <f>E31*(1+$D$17)</f>
        <v>84000</v>
      </c>
      <c r="G31" s="21">
        <f t="shared" si="2"/>
        <v>88200</v>
      </c>
      <c r="H31" s="21">
        <f t="shared" si="2"/>
        <v>92610</v>
      </c>
      <c r="I31" s="21">
        <f t="shared" si="2"/>
        <v>97240.5</v>
      </c>
      <c r="J31" s="21">
        <f t="shared" si="2"/>
        <v>102102.52500000001</v>
      </c>
      <c r="K31" s="21">
        <f t="shared" si="2"/>
        <v>107207.65125000001</v>
      </c>
      <c r="L31" s="21">
        <f t="shared" si="2"/>
        <v>112568.03381250001</v>
      </c>
      <c r="M31" s="21">
        <f t="shared" si="2"/>
        <v>118196.43550312502</v>
      </c>
      <c r="N31" s="21">
        <f t="shared" si="2"/>
        <v>124106.25727828128</v>
      </c>
    </row>
    <row r="32" spans="3:15" x14ac:dyDescent="0.25">
      <c r="C32" s="3" t="s">
        <v>39</v>
      </c>
      <c r="D32" s="24"/>
      <c r="E32" s="21"/>
      <c r="F32" s="21"/>
      <c r="G32" s="21"/>
      <c r="H32" s="21"/>
      <c r="I32" s="21"/>
      <c r="J32" s="21"/>
      <c r="K32" s="21"/>
      <c r="L32" s="21"/>
      <c r="M32" s="21"/>
      <c r="N32" s="21"/>
    </row>
    <row r="33" spans="3:14" x14ac:dyDescent="0.25">
      <c r="C33" s="3" t="s">
        <v>38</v>
      </c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</row>
    <row r="34" spans="3:14" x14ac:dyDescent="0.25">
      <c r="C34" s="3" t="s">
        <v>53</v>
      </c>
      <c r="D34" s="23"/>
      <c r="E34" s="21">
        <f t="shared" ref="E34:N34" si="3">E29-E30-E31-E32-E33</f>
        <v>14252800</v>
      </c>
      <c r="F34" s="21">
        <f t="shared" si="3"/>
        <v>14965440</v>
      </c>
      <c r="G34" s="21">
        <f t="shared" si="3"/>
        <v>15713712</v>
      </c>
      <c r="H34" s="21">
        <f t="shared" si="3"/>
        <v>16499397.600000001</v>
      </c>
      <c r="I34" s="21">
        <f t="shared" si="3"/>
        <v>17324367.480000004</v>
      </c>
      <c r="J34" s="21">
        <f t="shared" si="3"/>
        <v>18190585.854000006</v>
      </c>
      <c r="K34" s="21">
        <f t="shared" si="3"/>
        <v>19100115.146700002</v>
      </c>
      <c r="L34" s="21">
        <f t="shared" si="3"/>
        <v>20055120.904035006</v>
      </c>
      <c r="M34" s="21">
        <f t="shared" si="3"/>
        <v>21057876.949236758</v>
      </c>
      <c r="N34" s="21">
        <f t="shared" si="3"/>
        <v>22110770.796698596</v>
      </c>
    </row>
    <row r="35" spans="3:14" x14ac:dyDescent="0.25">
      <c r="C35" s="3" t="s">
        <v>52</v>
      </c>
      <c r="E35" s="21">
        <f>D22</f>
        <v>254901.96078431373</v>
      </c>
      <c r="F35" s="21">
        <f t="shared" ref="F35:N35" si="4">E35</f>
        <v>254901.96078431373</v>
      </c>
      <c r="G35" s="21">
        <f t="shared" si="4"/>
        <v>254901.96078431373</v>
      </c>
      <c r="H35" s="21">
        <f t="shared" si="4"/>
        <v>254901.96078431373</v>
      </c>
      <c r="I35" s="21">
        <f t="shared" si="4"/>
        <v>254901.96078431373</v>
      </c>
      <c r="J35" s="21">
        <f t="shared" si="4"/>
        <v>254901.96078431373</v>
      </c>
      <c r="K35" s="21">
        <f t="shared" si="4"/>
        <v>254901.96078431373</v>
      </c>
      <c r="L35" s="21">
        <f t="shared" si="4"/>
        <v>254901.96078431373</v>
      </c>
      <c r="M35" s="21">
        <f t="shared" si="4"/>
        <v>254901.96078431373</v>
      </c>
      <c r="N35" s="21">
        <f t="shared" si="4"/>
        <v>254901.96078431373</v>
      </c>
    </row>
    <row r="36" spans="3:14" x14ac:dyDescent="0.25">
      <c r="C36" s="3" t="s">
        <v>51</v>
      </c>
      <c r="E36" s="22">
        <f>0</f>
        <v>0</v>
      </c>
      <c r="F36" s="22">
        <f>0</f>
        <v>0</v>
      </c>
      <c r="G36" s="22">
        <f>0</f>
        <v>0</v>
      </c>
      <c r="H36" s="22">
        <f>0</f>
        <v>0</v>
      </c>
      <c r="I36" s="22">
        <f>0</f>
        <v>0</v>
      </c>
      <c r="J36" s="22">
        <f>0</f>
        <v>0</v>
      </c>
      <c r="K36" s="22">
        <f>0</f>
        <v>0</v>
      </c>
      <c r="L36" s="22">
        <f>0</f>
        <v>0</v>
      </c>
      <c r="M36" s="22">
        <f>0</f>
        <v>0</v>
      </c>
      <c r="N36" s="22">
        <f>0</f>
        <v>0</v>
      </c>
    </row>
    <row r="37" spans="3:14" x14ac:dyDescent="0.25">
      <c r="C37" s="3" t="s">
        <v>50</v>
      </c>
      <c r="E37" s="21">
        <f t="shared" ref="E37:N37" si="5">IF(D40&lt;0,D40,0)</f>
        <v>0</v>
      </c>
      <c r="F37" s="21">
        <f t="shared" si="5"/>
        <v>0</v>
      </c>
      <c r="G37" s="21">
        <f t="shared" si="5"/>
        <v>0</v>
      </c>
      <c r="H37" s="21">
        <f t="shared" si="5"/>
        <v>0</v>
      </c>
      <c r="I37" s="21">
        <f t="shared" si="5"/>
        <v>0</v>
      </c>
      <c r="J37" s="21">
        <f t="shared" si="5"/>
        <v>0</v>
      </c>
      <c r="K37" s="21">
        <f t="shared" si="5"/>
        <v>0</v>
      </c>
      <c r="L37" s="21">
        <f t="shared" si="5"/>
        <v>0</v>
      </c>
      <c r="M37" s="21">
        <f t="shared" si="5"/>
        <v>0</v>
      </c>
      <c r="N37" s="21">
        <f t="shared" si="5"/>
        <v>0</v>
      </c>
    </row>
    <row r="38" spans="3:14" x14ac:dyDescent="0.25">
      <c r="C38" s="3" t="s">
        <v>49</v>
      </c>
      <c r="E38" s="21">
        <f t="shared" ref="E38:N38" si="6">E34-E36</f>
        <v>14252800</v>
      </c>
      <c r="F38" s="21">
        <f t="shared" si="6"/>
        <v>14965440</v>
      </c>
      <c r="G38" s="21">
        <f t="shared" si="6"/>
        <v>15713712</v>
      </c>
      <c r="H38" s="21">
        <f t="shared" si="6"/>
        <v>16499397.600000001</v>
      </c>
      <c r="I38" s="21">
        <f t="shared" si="6"/>
        <v>17324367.480000004</v>
      </c>
      <c r="J38" s="21">
        <f t="shared" si="6"/>
        <v>18190585.854000006</v>
      </c>
      <c r="K38" s="21">
        <f t="shared" si="6"/>
        <v>19100115.146700002</v>
      </c>
      <c r="L38" s="21">
        <f t="shared" si="6"/>
        <v>20055120.904035006</v>
      </c>
      <c r="M38" s="21">
        <f t="shared" si="6"/>
        <v>21057876.949236758</v>
      </c>
      <c r="N38" s="21">
        <f t="shared" si="6"/>
        <v>22110770.796698596</v>
      </c>
    </row>
    <row r="39" spans="3:14" x14ac:dyDescent="0.25">
      <c r="C39" s="3" t="s">
        <v>36</v>
      </c>
      <c r="E39" s="21">
        <f>E29*1%</f>
        <v>167328</v>
      </c>
      <c r="F39" s="21">
        <f t="shared" ref="F39:N39" si="7">F29*1%</f>
        <v>175694.4</v>
      </c>
      <c r="G39" s="21">
        <f t="shared" si="7"/>
        <v>184479.12</v>
      </c>
      <c r="H39" s="21">
        <f t="shared" si="7"/>
        <v>193703.07600000003</v>
      </c>
      <c r="I39" s="21">
        <f t="shared" si="7"/>
        <v>203388.22980000006</v>
      </c>
      <c r="J39" s="21">
        <f t="shared" si="7"/>
        <v>213557.64129000006</v>
      </c>
      <c r="K39" s="21">
        <f t="shared" si="7"/>
        <v>224235.52335450007</v>
      </c>
      <c r="L39" s="21">
        <f t="shared" si="7"/>
        <v>235447.29952222508</v>
      </c>
      <c r="M39" s="21">
        <f t="shared" si="7"/>
        <v>247219.66449833635</v>
      </c>
      <c r="N39" s="21">
        <f t="shared" si="7"/>
        <v>259580.64772325318</v>
      </c>
    </row>
    <row r="40" spans="3:14" x14ac:dyDescent="0.25">
      <c r="C40" s="16" t="s">
        <v>48</v>
      </c>
      <c r="D40" s="16"/>
      <c r="E40" s="21">
        <f t="shared" ref="E40:N40" si="8">E38-E39</f>
        <v>14085472</v>
      </c>
      <c r="F40" s="21">
        <f t="shared" si="8"/>
        <v>14789745.6</v>
      </c>
      <c r="G40" s="21">
        <f t="shared" si="8"/>
        <v>15529232.880000001</v>
      </c>
      <c r="H40" s="21">
        <f t="shared" si="8"/>
        <v>16305694.524000002</v>
      </c>
      <c r="I40" s="21">
        <f t="shared" si="8"/>
        <v>17120979.250200003</v>
      </c>
      <c r="J40" s="21">
        <f t="shared" si="8"/>
        <v>17977028.212710004</v>
      </c>
      <c r="K40" s="21">
        <f t="shared" si="8"/>
        <v>18875879.623345502</v>
      </c>
      <c r="L40" s="21">
        <f t="shared" si="8"/>
        <v>19819673.604512781</v>
      </c>
      <c r="M40" s="21">
        <f t="shared" si="8"/>
        <v>20810657.284738421</v>
      </c>
      <c r="N40" s="21">
        <f t="shared" si="8"/>
        <v>21851190.148975343</v>
      </c>
    </row>
    <row r="41" spans="3:14" x14ac:dyDescent="0.25">
      <c r="E41" s="21"/>
      <c r="F41" s="21"/>
      <c r="G41" s="21"/>
      <c r="H41" s="21"/>
      <c r="I41" s="21"/>
      <c r="J41" s="21"/>
      <c r="K41" s="21"/>
      <c r="L41" s="21"/>
      <c r="M41" s="21"/>
      <c r="N41" s="21"/>
    </row>
    <row r="42" spans="3:14" x14ac:dyDescent="0.25">
      <c r="E42" s="18"/>
      <c r="F42" s="18"/>
      <c r="G42" s="18"/>
      <c r="H42" s="18"/>
      <c r="I42" s="18"/>
      <c r="J42" s="18"/>
      <c r="K42" s="18"/>
      <c r="L42" s="18"/>
      <c r="M42" s="18"/>
      <c r="N42" s="18"/>
    </row>
    <row r="43" spans="3:14" x14ac:dyDescent="0.25">
      <c r="C43" s="16" t="s">
        <v>47</v>
      </c>
      <c r="E43" s="18"/>
      <c r="F43" s="18"/>
      <c r="G43" s="18"/>
      <c r="H43" s="18"/>
      <c r="I43" s="18"/>
      <c r="J43" s="18"/>
      <c r="K43" s="18"/>
      <c r="L43" s="18"/>
      <c r="M43" s="18"/>
      <c r="N43" s="18"/>
    </row>
    <row r="44" spans="3:14" x14ac:dyDescent="0.25">
      <c r="C44" s="16" t="s">
        <v>46</v>
      </c>
      <c r="D44" s="14">
        <f>SUM(E40:N40)/10</f>
        <v>17716555.312848207</v>
      </c>
      <c r="E44" s="18"/>
      <c r="F44" s="18"/>
      <c r="G44" s="18"/>
      <c r="H44" s="18"/>
      <c r="I44" s="18"/>
      <c r="J44" s="18"/>
      <c r="K44" s="18"/>
      <c r="L44" s="18"/>
      <c r="M44" s="18"/>
      <c r="N44" s="18"/>
    </row>
    <row r="45" spans="3:14" x14ac:dyDescent="0.25">
      <c r="C45" s="16" t="s">
        <v>45</v>
      </c>
      <c r="D45" s="14">
        <f>D4</f>
        <v>13000000</v>
      </c>
      <c r="E45" s="18"/>
      <c r="F45" s="18"/>
      <c r="G45" s="18"/>
      <c r="H45" s="18"/>
      <c r="I45" s="18"/>
      <c r="J45" s="18"/>
      <c r="K45" s="18"/>
      <c r="L45" s="18"/>
      <c r="M45" s="18"/>
      <c r="N45" s="18"/>
    </row>
    <row r="46" spans="3:14" x14ac:dyDescent="0.25">
      <c r="C46" s="16" t="s">
        <v>44</v>
      </c>
      <c r="D46" s="20">
        <f>D45/D44</f>
        <v>0.733776954404465</v>
      </c>
      <c r="E46" s="18"/>
      <c r="F46" s="18"/>
      <c r="G46" s="18"/>
      <c r="H46" s="18"/>
      <c r="I46" s="18"/>
      <c r="J46" s="18"/>
      <c r="K46" s="18"/>
      <c r="L46" s="18"/>
      <c r="M46" s="18"/>
      <c r="N46" s="18"/>
    </row>
    <row r="47" spans="3:14" x14ac:dyDescent="0.25">
      <c r="C47" s="16"/>
      <c r="E47" s="18"/>
      <c r="F47" s="18"/>
      <c r="G47" s="18"/>
      <c r="H47" s="18"/>
      <c r="I47" s="18"/>
      <c r="J47" s="18"/>
      <c r="K47" s="18"/>
      <c r="L47" s="18"/>
      <c r="M47" s="18"/>
      <c r="N47" s="18"/>
    </row>
    <row r="48" spans="3:14" x14ac:dyDescent="0.25">
      <c r="C48" s="19" t="s">
        <v>43</v>
      </c>
      <c r="E48" s="18"/>
      <c r="F48" s="18"/>
      <c r="G48" s="18"/>
      <c r="H48" s="18"/>
      <c r="I48" s="18"/>
      <c r="J48" s="18"/>
      <c r="K48" s="18"/>
      <c r="L48" s="18"/>
      <c r="M48" s="18"/>
      <c r="N48" s="18"/>
    </row>
    <row r="49" spans="3:15" x14ac:dyDescent="0.25">
      <c r="C49" s="3" t="s">
        <v>42</v>
      </c>
      <c r="D49" s="17">
        <f>-D4</f>
        <v>-13000000</v>
      </c>
      <c r="F49" s="17"/>
      <c r="G49" s="17"/>
      <c r="H49" s="17"/>
      <c r="I49" s="17"/>
      <c r="J49" s="17"/>
      <c r="K49" s="17"/>
      <c r="L49" s="17"/>
      <c r="M49" s="17"/>
      <c r="N49" s="17"/>
    </row>
    <row r="50" spans="3:15" x14ac:dyDescent="0.25">
      <c r="C50" s="3" t="s">
        <v>41</v>
      </c>
      <c r="E50" s="17">
        <f t="shared" ref="E50:N50" si="9">E29</f>
        <v>16732800</v>
      </c>
      <c r="F50" s="17">
        <f t="shared" si="9"/>
        <v>17569440</v>
      </c>
      <c r="G50" s="17">
        <f t="shared" si="9"/>
        <v>18447912</v>
      </c>
      <c r="H50" s="17">
        <f t="shared" si="9"/>
        <v>19370307.600000001</v>
      </c>
      <c r="I50" s="17">
        <f t="shared" si="9"/>
        <v>20338822.980000004</v>
      </c>
      <c r="J50" s="17">
        <f t="shared" si="9"/>
        <v>21355764.129000004</v>
      </c>
      <c r="K50" s="17">
        <f t="shared" si="9"/>
        <v>22423552.335450005</v>
      </c>
      <c r="L50" s="17">
        <f t="shared" si="9"/>
        <v>23544729.952222507</v>
      </c>
      <c r="M50" s="17">
        <f t="shared" si="9"/>
        <v>24721966.449833635</v>
      </c>
      <c r="N50" s="17">
        <f t="shared" si="9"/>
        <v>25958064.772325318</v>
      </c>
    </row>
    <row r="51" spans="3:15" x14ac:dyDescent="0.25">
      <c r="C51" s="3" t="s">
        <v>40</v>
      </c>
      <c r="E51" s="17">
        <f>-E30-E31</f>
        <v>-2480000</v>
      </c>
      <c r="F51" s="17">
        <f>-F30-F31</f>
        <v>-2604000</v>
      </c>
      <c r="G51" s="17">
        <f>-G30-G31</f>
        <v>-2734200</v>
      </c>
      <c r="H51" s="17">
        <f t="shared" ref="H51:N51" si="10">-H30-H31</f>
        <v>-2870910</v>
      </c>
      <c r="I51" s="17">
        <f t="shared" si="10"/>
        <v>-3014455.5</v>
      </c>
      <c r="J51" s="17">
        <f t="shared" si="10"/>
        <v>-3165178.2749999999</v>
      </c>
      <c r="K51" s="17">
        <f t="shared" si="10"/>
        <v>-3323437.1887500002</v>
      </c>
      <c r="L51" s="17">
        <f t="shared" si="10"/>
        <v>-3489609.0481875003</v>
      </c>
      <c r="M51" s="17">
        <f t="shared" si="10"/>
        <v>-3664089.5005968758</v>
      </c>
      <c r="N51" s="17">
        <f t="shared" si="10"/>
        <v>-3847293.9756267196</v>
      </c>
    </row>
    <row r="52" spans="3:15" x14ac:dyDescent="0.25">
      <c r="C52" s="3" t="s">
        <v>39</v>
      </c>
      <c r="E52" s="17">
        <f t="shared" ref="E52:N53" si="11">-E32</f>
        <v>0</v>
      </c>
      <c r="F52" s="17">
        <f t="shared" si="11"/>
        <v>0</v>
      </c>
      <c r="G52" s="17">
        <f t="shared" si="11"/>
        <v>0</v>
      </c>
      <c r="H52" s="17">
        <f t="shared" si="11"/>
        <v>0</v>
      </c>
      <c r="I52" s="17">
        <f t="shared" si="11"/>
        <v>0</v>
      </c>
      <c r="J52" s="17">
        <f t="shared" si="11"/>
        <v>0</v>
      </c>
      <c r="K52" s="17">
        <f t="shared" si="11"/>
        <v>0</v>
      </c>
      <c r="L52" s="17">
        <f t="shared" si="11"/>
        <v>0</v>
      </c>
      <c r="M52" s="17">
        <f t="shared" si="11"/>
        <v>0</v>
      </c>
      <c r="N52" s="17">
        <f t="shared" si="11"/>
        <v>0</v>
      </c>
    </row>
    <row r="53" spans="3:15" x14ac:dyDescent="0.25">
      <c r="C53" s="3" t="s">
        <v>38</v>
      </c>
      <c r="D53" s="17">
        <f>-D33</f>
        <v>0</v>
      </c>
      <c r="E53" s="17">
        <f t="shared" si="11"/>
        <v>0</v>
      </c>
      <c r="F53" s="17">
        <f t="shared" si="11"/>
        <v>0</v>
      </c>
      <c r="G53" s="17">
        <f t="shared" si="11"/>
        <v>0</v>
      </c>
      <c r="H53" s="17">
        <f t="shared" si="11"/>
        <v>0</v>
      </c>
      <c r="I53" s="17">
        <f t="shared" si="11"/>
        <v>0</v>
      </c>
      <c r="J53" s="17">
        <f t="shared" si="11"/>
        <v>0</v>
      </c>
      <c r="K53" s="17">
        <f t="shared" si="11"/>
        <v>0</v>
      </c>
      <c r="L53" s="17">
        <f t="shared" si="11"/>
        <v>0</v>
      </c>
      <c r="M53" s="17">
        <f t="shared" si="11"/>
        <v>0</v>
      </c>
      <c r="N53" s="17">
        <f t="shared" si="11"/>
        <v>0</v>
      </c>
    </row>
    <row r="54" spans="3:15" x14ac:dyDescent="0.25">
      <c r="C54" s="3" t="s">
        <v>37</v>
      </c>
      <c r="E54" s="17">
        <f t="shared" ref="E54:N54" si="12">-E36</f>
        <v>0</v>
      </c>
      <c r="F54" s="17">
        <f t="shared" si="12"/>
        <v>0</v>
      </c>
      <c r="G54" s="17">
        <f t="shared" si="12"/>
        <v>0</v>
      </c>
      <c r="H54" s="17">
        <f t="shared" si="12"/>
        <v>0</v>
      </c>
      <c r="I54" s="17">
        <f t="shared" si="12"/>
        <v>0</v>
      </c>
      <c r="J54" s="17">
        <f t="shared" si="12"/>
        <v>0</v>
      </c>
      <c r="K54" s="17">
        <f t="shared" si="12"/>
        <v>0</v>
      </c>
      <c r="L54" s="17">
        <f t="shared" si="12"/>
        <v>0</v>
      </c>
      <c r="M54" s="17">
        <f t="shared" si="12"/>
        <v>0</v>
      </c>
      <c r="N54" s="17">
        <f t="shared" si="12"/>
        <v>0</v>
      </c>
    </row>
    <row r="55" spans="3:15" x14ac:dyDescent="0.25">
      <c r="C55" s="3" t="s">
        <v>36</v>
      </c>
      <c r="E55" s="17">
        <f>-E39</f>
        <v>-167328</v>
      </c>
      <c r="F55" s="17">
        <f t="shared" ref="F55:N55" si="13">-F39</f>
        <v>-175694.4</v>
      </c>
      <c r="G55" s="17">
        <f t="shared" si="13"/>
        <v>-184479.12</v>
      </c>
      <c r="H55" s="17">
        <f t="shared" si="13"/>
        <v>-193703.07600000003</v>
      </c>
      <c r="I55" s="17">
        <f t="shared" si="13"/>
        <v>-203388.22980000006</v>
      </c>
      <c r="J55" s="17">
        <f t="shared" si="13"/>
        <v>-213557.64129000006</v>
      </c>
      <c r="K55" s="17">
        <f t="shared" si="13"/>
        <v>-224235.52335450007</v>
      </c>
      <c r="L55" s="17">
        <f t="shared" si="13"/>
        <v>-235447.29952222508</v>
      </c>
      <c r="M55" s="17">
        <f t="shared" si="13"/>
        <v>-247219.66449833635</v>
      </c>
      <c r="N55" s="17">
        <f t="shared" si="13"/>
        <v>-259580.64772325318</v>
      </c>
    </row>
    <row r="56" spans="3:15" x14ac:dyDescent="0.25">
      <c r="C56" s="3" t="s">
        <v>35</v>
      </c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>
        <f>N34*7</f>
        <v>154775395.57689017</v>
      </c>
    </row>
    <row r="57" spans="3:15" x14ac:dyDescent="0.25">
      <c r="C57" s="16" t="s">
        <v>34</v>
      </c>
      <c r="D57" s="14">
        <f t="shared" ref="D57:O57" si="14">SUM(D49:D56)</f>
        <v>-13000000</v>
      </c>
      <c r="E57" s="14">
        <f t="shared" si="14"/>
        <v>14085472</v>
      </c>
      <c r="F57" s="14">
        <f t="shared" si="14"/>
        <v>14789745.6</v>
      </c>
      <c r="G57" s="14">
        <f t="shared" si="14"/>
        <v>15529232.880000001</v>
      </c>
      <c r="H57" s="14">
        <f t="shared" si="14"/>
        <v>16305694.524000002</v>
      </c>
      <c r="I57" s="14">
        <f t="shared" si="14"/>
        <v>17120979.250200003</v>
      </c>
      <c r="J57" s="14">
        <f t="shared" si="14"/>
        <v>17977028.212710004</v>
      </c>
      <c r="K57" s="14">
        <f t="shared" si="14"/>
        <v>18875879.623345505</v>
      </c>
      <c r="L57" s="14">
        <f t="shared" si="14"/>
        <v>19819673.604512781</v>
      </c>
      <c r="M57" s="14">
        <f t="shared" si="14"/>
        <v>20810657.284738421</v>
      </c>
      <c r="N57" s="14">
        <f t="shared" si="14"/>
        <v>21851190.148975346</v>
      </c>
      <c r="O57" s="14">
        <f t="shared" si="14"/>
        <v>154775395.57689017</v>
      </c>
    </row>
    <row r="58" spans="3:15" x14ac:dyDescent="0.25">
      <c r="C58" s="16" t="s">
        <v>33</v>
      </c>
      <c r="D58" s="14">
        <f>D57</f>
        <v>-13000000</v>
      </c>
      <c r="E58" s="14">
        <f>E57</f>
        <v>14085472</v>
      </c>
      <c r="F58" s="14">
        <f>E58+F57</f>
        <v>28875217.600000001</v>
      </c>
      <c r="G58" s="14">
        <f>F58+G57</f>
        <v>44404450.480000004</v>
      </c>
      <c r="H58" s="14">
        <f t="shared" ref="H58:O58" si="15">G58+H57</f>
        <v>60710145.004000008</v>
      </c>
      <c r="I58" s="14">
        <f t="shared" si="15"/>
        <v>77831124.254200011</v>
      </c>
      <c r="J58" s="14">
        <f t="shared" si="15"/>
        <v>95808152.46691002</v>
      </c>
      <c r="K58" s="14">
        <f t="shared" si="15"/>
        <v>114684032.09025553</v>
      </c>
      <c r="L58" s="14">
        <f t="shared" si="15"/>
        <v>134503705.69476831</v>
      </c>
      <c r="M58" s="14">
        <f t="shared" si="15"/>
        <v>155314362.97950673</v>
      </c>
      <c r="N58" s="14">
        <f t="shared" si="15"/>
        <v>177165553.12848207</v>
      </c>
      <c r="O58" s="14">
        <f t="shared" si="15"/>
        <v>331940948.70537221</v>
      </c>
    </row>
    <row r="59" spans="3:15" ht="26.25" x14ac:dyDescent="0.25">
      <c r="C59" s="15" t="s">
        <v>32</v>
      </c>
      <c r="D59" s="14">
        <f t="shared" ref="D59:O59" si="16">D57/(1+$D$18)^D61</f>
        <v>-13000000</v>
      </c>
      <c r="E59" s="14">
        <f t="shared" si="16"/>
        <v>12248236.521739131</v>
      </c>
      <c r="F59" s="14">
        <f t="shared" si="16"/>
        <v>11183172.476370512</v>
      </c>
      <c r="G59" s="14">
        <f t="shared" si="16"/>
        <v>10210722.695816556</v>
      </c>
      <c r="H59" s="14">
        <f t="shared" si="16"/>
        <v>9322833.7657455523</v>
      </c>
      <c r="I59" s="14">
        <f t="shared" si="16"/>
        <v>8512152.5687242001</v>
      </c>
      <c r="J59" s="14">
        <f t="shared" si="16"/>
        <v>7771965.3888351405</v>
      </c>
      <c r="K59" s="14">
        <f t="shared" si="16"/>
        <v>7096142.3115451308</v>
      </c>
      <c r="L59" s="14">
        <f t="shared" si="16"/>
        <v>6479086.4583672937</v>
      </c>
      <c r="M59" s="14">
        <f t="shared" si="16"/>
        <v>5915687.6359005729</v>
      </c>
      <c r="N59" s="14">
        <f t="shared" si="16"/>
        <v>5401280.0153874811</v>
      </c>
      <c r="O59" s="14">
        <f t="shared" si="16"/>
        <v>33267922.322234031</v>
      </c>
    </row>
    <row r="60" spans="3:15" ht="26.25" x14ac:dyDescent="0.25">
      <c r="C60" s="15" t="s">
        <v>31</v>
      </c>
      <c r="D60" s="14">
        <f>D59</f>
        <v>-13000000</v>
      </c>
      <c r="E60" s="14">
        <f t="shared" ref="E60:O60" si="17">D60+E59</f>
        <v>-751763.47826086916</v>
      </c>
      <c r="F60" s="14">
        <f t="shared" si="17"/>
        <v>10431408.998109642</v>
      </c>
      <c r="G60" s="14">
        <f t="shared" si="17"/>
        <v>20642131.6939262</v>
      </c>
      <c r="H60" s="14">
        <f t="shared" si="17"/>
        <v>29964965.459671751</v>
      </c>
      <c r="I60" s="14">
        <f t="shared" si="17"/>
        <v>38477118.028395951</v>
      </c>
      <c r="J60" s="14">
        <f t="shared" si="17"/>
        <v>46249083.41723109</v>
      </c>
      <c r="K60" s="14">
        <f t="shared" si="17"/>
        <v>53345225.728776224</v>
      </c>
      <c r="L60" s="14">
        <f t="shared" si="17"/>
        <v>59824312.18714352</v>
      </c>
      <c r="M60" s="14">
        <f t="shared" si="17"/>
        <v>65739999.823044091</v>
      </c>
      <c r="N60" s="14">
        <f t="shared" si="17"/>
        <v>71141279.838431567</v>
      </c>
      <c r="O60" s="14">
        <f t="shared" si="17"/>
        <v>104409202.1606656</v>
      </c>
    </row>
    <row r="61" spans="3:15" x14ac:dyDescent="0.25">
      <c r="C61" s="13" t="s">
        <v>30</v>
      </c>
      <c r="D61" s="3">
        <v>0</v>
      </c>
      <c r="E61" s="3">
        <v>1</v>
      </c>
      <c r="F61" s="3">
        <v>2</v>
      </c>
      <c r="G61" s="3">
        <v>3</v>
      </c>
      <c r="H61" s="3">
        <v>4</v>
      </c>
      <c r="I61" s="3">
        <v>5</v>
      </c>
      <c r="J61" s="3">
        <v>6</v>
      </c>
      <c r="K61" s="3">
        <v>7</v>
      </c>
      <c r="L61" s="3">
        <v>8</v>
      </c>
      <c r="M61" s="3">
        <v>9</v>
      </c>
      <c r="N61" s="3">
        <v>10</v>
      </c>
      <c r="O61" s="3">
        <v>11</v>
      </c>
    </row>
    <row r="62" spans="3:15" ht="15.75" thickBot="1" x14ac:dyDescent="0.3"/>
    <row r="63" spans="3:15" x14ac:dyDescent="0.25">
      <c r="C63" s="12" t="s">
        <v>29</v>
      </c>
      <c r="D63" s="11" t="s">
        <v>28</v>
      </c>
    </row>
    <row r="64" spans="3:15" x14ac:dyDescent="0.25">
      <c r="C64" s="7" t="s">
        <v>27</v>
      </c>
      <c r="D64" s="10">
        <f>D18</f>
        <v>0.15</v>
      </c>
    </row>
    <row r="65" spans="3:5" x14ac:dyDescent="0.25">
      <c r="C65" s="7" t="s">
        <v>26</v>
      </c>
      <c r="D65" s="6">
        <f>SUM(D59:O59)</f>
        <v>104409202.1606656</v>
      </c>
    </row>
    <row r="66" spans="3:5" x14ac:dyDescent="0.25">
      <c r="C66" s="7" t="s">
        <v>25</v>
      </c>
      <c r="D66" s="9">
        <f>IRR(D57:O57)</f>
        <v>1.1356698221332189</v>
      </c>
    </row>
    <row r="67" spans="3:5" x14ac:dyDescent="0.25">
      <c r="C67" s="7" t="s">
        <v>24</v>
      </c>
      <c r="D67" s="8">
        <f>1/D66</f>
        <v>0.88053761798620356</v>
      </c>
    </row>
    <row r="68" spans="3:5" x14ac:dyDescent="0.25">
      <c r="C68" s="7" t="s">
        <v>86</v>
      </c>
      <c r="D68" s="6">
        <f>SUM(E40:N40)/10</f>
        <v>17716555.312848207</v>
      </c>
      <c r="E68" s="43"/>
    </row>
    <row r="69" spans="3:5" x14ac:dyDescent="0.25">
      <c r="C69" s="7" t="s">
        <v>23</v>
      </c>
      <c r="D69" s="6">
        <f>(D4)*D25</f>
        <v>13000000</v>
      </c>
    </row>
    <row r="70" spans="3:5" ht="15.75" thickBot="1" x14ac:dyDescent="0.3">
      <c r="C70" s="5" t="s">
        <v>22</v>
      </c>
      <c r="D70" s="4">
        <f>D69/D68</f>
        <v>0.733776954404465</v>
      </c>
      <c r="E70" s="43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128"/>
  <sheetViews>
    <sheetView zoomScaleNormal="100" workbookViewId="0">
      <selection activeCell="N27" sqref="N27"/>
    </sheetView>
  </sheetViews>
  <sheetFormatPr defaultRowHeight="15" x14ac:dyDescent="0.25"/>
  <cols>
    <col min="8" max="8" width="11.42578125" bestFit="1" customWidth="1"/>
  </cols>
  <sheetData>
    <row r="2" spans="1:16" ht="20.25" x14ac:dyDescent="0.3">
      <c r="A2" s="55" t="s">
        <v>100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</row>
    <row r="3" spans="1:16" x14ac:dyDescent="0.25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</row>
    <row r="4" spans="1:16" ht="18" x14ac:dyDescent="0.25">
      <c r="A4" s="67" t="s">
        <v>410</v>
      </c>
      <c r="B4" s="37"/>
      <c r="C4" s="37"/>
      <c r="D4" s="37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</row>
    <row r="5" spans="1:16" ht="15.75" x14ac:dyDescent="0.25">
      <c r="A5" s="41" t="s">
        <v>104</v>
      </c>
      <c r="B5" s="41"/>
      <c r="C5" s="41"/>
      <c r="D5" s="41"/>
      <c r="E5" s="41"/>
      <c r="F5" s="41"/>
      <c r="G5" s="64"/>
      <c r="H5" s="64"/>
      <c r="I5" s="64"/>
      <c r="J5" s="64"/>
      <c r="K5" s="64"/>
      <c r="L5" s="64"/>
      <c r="M5" s="64"/>
      <c r="N5" s="64"/>
      <c r="O5" s="64"/>
      <c r="P5" s="64"/>
    </row>
    <row r="6" spans="1:16" ht="15.75" x14ac:dyDescent="0.25">
      <c r="A6" s="41" t="s">
        <v>103</v>
      </c>
      <c r="B6" s="41"/>
      <c r="C6" s="41"/>
      <c r="D6" s="41"/>
      <c r="E6" s="41"/>
      <c r="F6" s="41"/>
      <c r="G6" s="64"/>
      <c r="H6" s="64"/>
      <c r="I6" s="64"/>
      <c r="J6" s="64"/>
      <c r="K6" s="64"/>
      <c r="L6" s="64"/>
      <c r="M6" s="64"/>
      <c r="N6" s="64"/>
      <c r="O6" s="64"/>
      <c r="P6" s="64"/>
    </row>
    <row r="7" spans="1:16" ht="15.75" x14ac:dyDescent="0.25">
      <c r="A7" s="41" t="s">
        <v>102</v>
      </c>
      <c r="B7" s="41"/>
      <c r="C7" s="41"/>
      <c r="D7" s="41"/>
      <c r="E7" s="41"/>
      <c r="F7" s="41"/>
      <c r="G7" s="64"/>
      <c r="H7" s="64"/>
      <c r="I7" s="64"/>
      <c r="J7" s="64"/>
      <c r="K7" s="64"/>
      <c r="L7" s="64"/>
      <c r="M7" s="64"/>
      <c r="N7" s="64"/>
      <c r="O7" s="64"/>
      <c r="P7" s="64"/>
    </row>
    <row r="8" spans="1:16" ht="15.75" x14ac:dyDescent="0.25">
      <c r="A8" s="41" t="s">
        <v>101</v>
      </c>
      <c r="B8" s="41"/>
      <c r="C8" s="41"/>
      <c r="D8" s="41"/>
      <c r="E8" s="41"/>
      <c r="F8" s="41"/>
      <c r="G8" s="64"/>
      <c r="H8" s="64"/>
      <c r="I8" s="64"/>
      <c r="J8" s="64"/>
      <c r="K8" s="64"/>
      <c r="L8" s="64"/>
      <c r="M8" s="64"/>
      <c r="N8" s="64"/>
      <c r="O8" s="64"/>
      <c r="P8" s="64"/>
    </row>
    <row r="9" spans="1:16" ht="15.75" x14ac:dyDescent="0.25">
      <c r="A9" s="41" t="s">
        <v>105</v>
      </c>
      <c r="B9" s="41"/>
      <c r="C9" s="41"/>
      <c r="D9" s="41"/>
      <c r="E9" s="41"/>
      <c r="F9" s="41"/>
      <c r="G9" s="64"/>
      <c r="H9" s="64"/>
      <c r="I9" s="64"/>
      <c r="J9" s="64"/>
      <c r="K9" s="64"/>
      <c r="L9" s="64"/>
      <c r="M9" s="64"/>
      <c r="N9" s="64"/>
      <c r="O9" s="64"/>
      <c r="P9" s="64"/>
    </row>
    <row r="10" spans="1:16" x14ac:dyDescent="0.25">
      <c r="A10" s="64"/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</row>
    <row r="11" spans="1:16" ht="18" x14ac:dyDescent="0.25">
      <c r="A11" s="67" t="s">
        <v>106</v>
      </c>
      <c r="B11" s="64"/>
      <c r="C11" s="64"/>
      <c r="D11" s="64"/>
      <c r="E11" s="64"/>
      <c r="F11" s="64"/>
      <c r="G11" s="64"/>
      <c r="H11" s="64"/>
      <c r="I11" s="64"/>
      <c r="J11" s="64"/>
      <c r="K11" s="64"/>
      <c r="L11" s="64"/>
      <c r="M11" s="64"/>
      <c r="N11" s="64"/>
      <c r="O11" s="64"/>
      <c r="P11" s="64"/>
    </row>
    <row r="12" spans="1:16" ht="15.75" x14ac:dyDescent="0.25">
      <c r="A12" s="51" t="s">
        <v>411</v>
      </c>
      <c r="B12" s="51"/>
      <c r="C12" s="51"/>
      <c r="D12" s="51"/>
      <c r="E12" s="51"/>
      <c r="F12" s="51"/>
      <c r="G12" s="51"/>
      <c r="H12" s="65">
        <v>200000</v>
      </c>
      <c r="I12" s="51"/>
      <c r="J12" s="64"/>
      <c r="K12" s="64"/>
      <c r="L12" s="64"/>
      <c r="M12" s="64"/>
      <c r="N12" s="64"/>
      <c r="O12" s="64"/>
      <c r="P12" s="64"/>
    </row>
    <row r="13" spans="1:16" ht="15.75" x14ac:dyDescent="0.25">
      <c r="A13" s="51" t="s">
        <v>107</v>
      </c>
      <c r="B13" s="51"/>
      <c r="C13" s="51"/>
      <c r="D13" s="51"/>
      <c r="E13" s="51"/>
      <c r="F13" s="51"/>
      <c r="G13" s="51"/>
      <c r="H13" s="65">
        <v>2213222</v>
      </c>
      <c r="I13" s="51"/>
      <c r="J13" s="64" t="s">
        <v>387</v>
      </c>
      <c r="K13" s="64"/>
      <c r="L13" s="64"/>
      <c r="M13" s="64"/>
      <c r="N13" s="64"/>
      <c r="O13" s="64"/>
      <c r="P13" s="64"/>
    </row>
    <row r="14" spans="1:16" ht="15.75" x14ac:dyDescent="0.25">
      <c r="A14" s="51" t="s">
        <v>108</v>
      </c>
      <c r="B14" s="51"/>
      <c r="C14" s="51"/>
      <c r="D14" s="51"/>
      <c r="E14" s="51"/>
      <c r="F14" s="51"/>
      <c r="G14" s="51"/>
      <c r="H14" s="65">
        <v>950000</v>
      </c>
      <c r="I14" s="51"/>
      <c r="J14" s="64" t="s">
        <v>388</v>
      </c>
      <c r="K14" s="64"/>
      <c r="L14" s="64"/>
      <c r="M14" s="64"/>
      <c r="N14" s="64"/>
      <c r="O14" s="64"/>
      <c r="P14" s="64"/>
    </row>
    <row r="15" spans="1:16" ht="15.75" x14ac:dyDescent="0.25">
      <c r="A15" s="51" t="s">
        <v>413</v>
      </c>
      <c r="B15" s="51"/>
      <c r="C15" s="51"/>
      <c r="D15" s="51"/>
      <c r="E15" s="51"/>
      <c r="F15" s="51"/>
      <c r="G15" s="51"/>
      <c r="H15" s="65">
        <v>536572</v>
      </c>
      <c r="I15" s="51"/>
      <c r="J15" s="64" t="s">
        <v>389</v>
      </c>
      <c r="K15" s="64"/>
      <c r="L15" s="64"/>
      <c r="M15" s="64"/>
      <c r="N15" s="64"/>
      <c r="O15" s="64"/>
      <c r="P15" s="64"/>
    </row>
    <row r="16" spans="1:16" ht="15.75" x14ac:dyDescent="0.25">
      <c r="A16" s="64"/>
      <c r="B16" s="64"/>
      <c r="C16" s="64"/>
      <c r="D16" s="64"/>
      <c r="E16" s="64"/>
      <c r="F16" s="64"/>
      <c r="G16" s="41" t="s">
        <v>81</v>
      </c>
      <c r="H16" s="52">
        <f>SUM(H12:H15)</f>
        <v>3899794</v>
      </c>
      <c r="I16" s="41" t="s">
        <v>412</v>
      </c>
      <c r="J16" s="64"/>
      <c r="K16" s="64"/>
      <c r="L16" s="64"/>
      <c r="M16" s="64"/>
      <c r="N16" s="64"/>
      <c r="O16" s="64"/>
      <c r="P16" s="64"/>
    </row>
    <row r="17" spans="1:16" ht="15.75" x14ac:dyDescent="0.25">
      <c r="A17" s="64"/>
      <c r="B17" s="64"/>
      <c r="C17" s="64"/>
      <c r="D17" s="64"/>
      <c r="E17" s="64"/>
      <c r="F17" s="64"/>
      <c r="G17" s="51"/>
      <c r="H17" s="51"/>
      <c r="I17" s="51"/>
      <c r="J17" s="64"/>
      <c r="K17" s="64"/>
      <c r="L17" s="64"/>
      <c r="M17" s="64"/>
      <c r="N17" s="64"/>
      <c r="O17" s="64"/>
      <c r="P17" s="64"/>
    </row>
    <row r="19" spans="1:16" x14ac:dyDescent="0.25">
      <c r="A19" s="104"/>
      <c r="B19" s="99"/>
      <c r="C19" s="98" t="s">
        <v>109</v>
      </c>
      <c r="D19" s="99"/>
      <c r="E19" s="99"/>
      <c r="F19" s="104"/>
      <c r="G19" s="104"/>
      <c r="H19" s="104"/>
      <c r="I19" s="104"/>
      <c r="J19" s="56"/>
      <c r="K19" s="56"/>
    </row>
    <row r="20" spans="1:16" x14ac:dyDescent="0.25">
      <c r="A20" s="98" t="s">
        <v>109</v>
      </c>
      <c r="B20" s="99"/>
      <c r="C20" s="98" t="s">
        <v>109</v>
      </c>
      <c r="D20" s="99"/>
      <c r="E20" s="99"/>
      <c r="F20" s="98" t="s">
        <v>109</v>
      </c>
      <c r="G20" s="99"/>
      <c r="H20" s="98" t="s">
        <v>109</v>
      </c>
      <c r="I20" s="99"/>
      <c r="J20" s="99"/>
      <c r="K20" s="99"/>
    </row>
    <row r="21" spans="1:16" x14ac:dyDescent="0.25">
      <c r="A21" s="56"/>
      <c r="B21" s="56"/>
      <c r="C21" s="56"/>
      <c r="D21" s="56"/>
      <c r="E21" s="56"/>
      <c r="F21" s="56"/>
      <c r="G21" s="56"/>
      <c r="H21" s="56"/>
      <c r="I21" s="56"/>
      <c r="J21" s="56"/>
      <c r="K21" s="56"/>
    </row>
    <row r="22" spans="1:16" ht="18.75" x14ac:dyDescent="0.3">
      <c r="A22" s="96" t="s">
        <v>384</v>
      </c>
      <c r="B22" s="97"/>
      <c r="C22" s="98"/>
      <c r="D22" s="99"/>
      <c r="E22" s="99"/>
      <c r="F22" s="100"/>
      <c r="G22" s="86"/>
      <c r="H22" s="98"/>
      <c r="I22" s="99"/>
      <c r="J22" s="99"/>
      <c r="K22" s="99"/>
      <c r="L22" s="67"/>
    </row>
    <row r="23" spans="1:16" x14ac:dyDescent="0.25">
      <c r="A23" s="101"/>
      <c r="B23" s="99"/>
      <c r="C23" s="99"/>
      <c r="D23" s="99"/>
      <c r="E23" s="99"/>
      <c r="F23" s="102"/>
      <c r="G23" s="103"/>
      <c r="H23" s="103"/>
      <c r="I23" s="56"/>
      <c r="J23" s="56"/>
      <c r="K23" s="56"/>
    </row>
    <row r="24" spans="1:16" x14ac:dyDescent="0.25">
      <c r="A24" s="56"/>
      <c r="B24" s="56"/>
      <c r="C24" s="56"/>
      <c r="D24" s="56"/>
      <c r="E24" s="56"/>
      <c r="F24" s="56"/>
      <c r="G24" s="56"/>
      <c r="H24" s="56"/>
      <c r="I24" s="56"/>
      <c r="J24" s="56"/>
      <c r="K24" s="56"/>
    </row>
    <row r="25" spans="1:16" ht="15.75" x14ac:dyDescent="0.25">
      <c r="A25" s="105" t="s">
        <v>110</v>
      </c>
      <c r="B25" s="105"/>
      <c r="C25" s="105"/>
      <c r="D25" s="105"/>
      <c r="E25" s="105"/>
      <c r="F25" s="105"/>
      <c r="G25" s="105"/>
      <c r="H25" s="105"/>
      <c r="I25" s="105"/>
      <c r="J25" s="56"/>
      <c r="K25" s="56"/>
    </row>
    <row r="26" spans="1:16" ht="15" customHeight="1" x14ac:dyDescent="0.25">
      <c r="A26" s="106" t="s">
        <v>383</v>
      </c>
      <c r="B26" s="107"/>
      <c r="C26" s="107"/>
      <c r="D26" s="107"/>
      <c r="E26" s="107"/>
      <c r="F26" s="107"/>
      <c r="G26" s="107"/>
      <c r="H26" s="107"/>
      <c r="I26" s="107"/>
      <c r="J26" s="56"/>
      <c r="K26" s="56"/>
      <c r="L26" s="67" t="s">
        <v>385</v>
      </c>
    </row>
    <row r="27" spans="1:16" x14ac:dyDescent="0.25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</row>
    <row r="28" spans="1:16" x14ac:dyDescent="0.25">
      <c r="A28" s="56"/>
      <c r="B28" s="56"/>
      <c r="C28" s="56"/>
      <c r="D28" s="56"/>
      <c r="E28" s="56"/>
      <c r="F28" s="56"/>
      <c r="G28" s="56"/>
      <c r="H28" s="56"/>
      <c r="I28" s="56"/>
      <c r="J28" s="56"/>
      <c r="K28" s="56"/>
    </row>
    <row r="29" spans="1:16" x14ac:dyDescent="0.25">
      <c r="A29" s="89" t="s">
        <v>111</v>
      </c>
      <c r="B29" s="71"/>
      <c r="C29" s="90" t="s">
        <v>112</v>
      </c>
      <c r="D29" s="91"/>
      <c r="E29" s="94" t="s">
        <v>113</v>
      </c>
      <c r="F29" s="94" t="s">
        <v>114</v>
      </c>
      <c r="G29" s="89" t="s">
        <v>115</v>
      </c>
      <c r="H29" s="72"/>
      <c r="I29" s="71"/>
      <c r="J29" s="56"/>
      <c r="K29" s="56"/>
    </row>
    <row r="30" spans="1:16" ht="19.5" x14ac:dyDescent="0.25">
      <c r="A30" s="57" t="s">
        <v>116</v>
      </c>
      <c r="B30" s="57" t="s">
        <v>117</v>
      </c>
      <c r="C30" s="92"/>
      <c r="D30" s="93"/>
      <c r="E30" s="95"/>
      <c r="F30" s="95"/>
      <c r="G30" s="57" t="s">
        <v>118</v>
      </c>
      <c r="H30" s="57" t="s">
        <v>119</v>
      </c>
      <c r="I30" s="57" t="s">
        <v>120</v>
      </c>
      <c r="J30" s="56"/>
      <c r="K30" s="56"/>
    </row>
    <row r="31" spans="1:16" x14ac:dyDescent="0.25">
      <c r="A31" s="57">
        <v>1</v>
      </c>
      <c r="B31" s="58">
        <v>2</v>
      </c>
      <c r="C31" s="87">
        <v>3</v>
      </c>
      <c r="D31" s="71"/>
      <c r="E31" s="58">
        <v>4</v>
      </c>
      <c r="F31" s="58">
        <v>5</v>
      </c>
      <c r="G31" s="58">
        <v>6</v>
      </c>
      <c r="H31" s="58">
        <v>7</v>
      </c>
      <c r="I31" s="58">
        <v>8</v>
      </c>
      <c r="J31" s="56"/>
      <c r="K31" s="56"/>
    </row>
    <row r="32" spans="1:16" x14ac:dyDescent="0.25">
      <c r="A32" s="88" t="s">
        <v>121</v>
      </c>
      <c r="B32" s="72"/>
      <c r="C32" s="72"/>
      <c r="D32" s="72"/>
      <c r="E32" s="72"/>
      <c r="F32" s="72"/>
      <c r="G32" s="72"/>
      <c r="H32" s="72"/>
      <c r="I32" s="72"/>
      <c r="J32" s="56"/>
      <c r="K32" s="56"/>
    </row>
    <row r="33" spans="1:11" ht="19.5" x14ac:dyDescent="0.25">
      <c r="A33" s="59" t="s">
        <v>122</v>
      </c>
      <c r="B33" s="59" t="s">
        <v>123</v>
      </c>
      <c r="C33" s="81" t="s">
        <v>124</v>
      </c>
      <c r="D33" s="71"/>
      <c r="E33" s="60" t="s">
        <v>125</v>
      </c>
      <c r="F33" s="61" t="s">
        <v>126</v>
      </c>
      <c r="G33" s="62">
        <v>3.3450000000000002</v>
      </c>
      <c r="H33" s="62">
        <v>12133.44</v>
      </c>
      <c r="I33" s="62">
        <v>40586</v>
      </c>
      <c r="J33" s="56"/>
      <c r="K33" s="56"/>
    </row>
    <row r="34" spans="1:11" ht="19.5" x14ac:dyDescent="0.25">
      <c r="A34" s="59" t="s">
        <v>127</v>
      </c>
      <c r="B34" s="59" t="s">
        <v>128</v>
      </c>
      <c r="C34" s="81" t="s">
        <v>129</v>
      </c>
      <c r="D34" s="71"/>
      <c r="E34" s="60" t="s">
        <v>130</v>
      </c>
      <c r="F34" s="61" t="s">
        <v>131</v>
      </c>
      <c r="G34" s="62">
        <v>-337.84500000000003</v>
      </c>
      <c r="H34" s="62">
        <v>92.12</v>
      </c>
      <c r="I34" s="62">
        <v>-31122</v>
      </c>
      <c r="J34" s="56"/>
      <c r="K34" s="56"/>
    </row>
    <row r="35" spans="1:11" ht="19.5" x14ac:dyDescent="0.25">
      <c r="A35" s="59" t="s">
        <v>132</v>
      </c>
      <c r="B35" s="59" t="s">
        <v>133</v>
      </c>
      <c r="C35" s="81" t="s">
        <v>134</v>
      </c>
      <c r="D35" s="71"/>
      <c r="E35" s="60" t="s">
        <v>135</v>
      </c>
      <c r="F35" s="61" t="s">
        <v>126</v>
      </c>
      <c r="G35" s="62">
        <v>0.27500000000000002</v>
      </c>
      <c r="H35" s="62">
        <v>5864.13</v>
      </c>
      <c r="I35" s="62">
        <v>1613</v>
      </c>
      <c r="J35" s="56"/>
      <c r="K35" s="56"/>
    </row>
    <row r="36" spans="1:11" ht="19.5" x14ac:dyDescent="0.25">
      <c r="A36" s="59" t="s">
        <v>136</v>
      </c>
      <c r="B36" s="59" t="s">
        <v>137</v>
      </c>
      <c r="C36" s="81" t="s">
        <v>138</v>
      </c>
      <c r="D36" s="71"/>
      <c r="E36" s="60" t="s">
        <v>139</v>
      </c>
      <c r="F36" s="61" t="s">
        <v>131</v>
      </c>
      <c r="G36" s="62">
        <v>-27.774999999999999</v>
      </c>
      <c r="H36" s="62">
        <v>38.090000000000003</v>
      </c>
      <c r="I36" s="62">
        <v>-1058</v>
      </c>
      <c r="J36" s="56"/>
      <c r="K36" s="56"/>
    </row>
    <row r="37" spans="1:11" ht="19.5" x14ac:dyDescent="0.25">
      <c r="A37" s="59" t="s">
        <v>123</v>
      </c>
      <c r="B37" s="59" t="s">
        <v>140</v>
      </c>
      <c r="C37" s="81" t="s">
        <v>141</v>
      </c>
      <c r="D37" s="71"/>
      <c r="E37" s="60" t="s">
        <v>142</v>
      </c>
      <c r="F37" s="61" t="s">
        <v>143</v>
      </c>
      <c r="G37" s="62">
        <v>6.7000000000000004E-2</v>
      </c>
      <c r="H37" s="62">
        <v>24965.67</v>
      </c>
      <c r="I37" s="62">
        <v>1673</v>
      </c>
      <c r="J37" s="56"/>
      <c r="K37" s="56"/>
    </row>
    <row r="38" spans="1:11" ht="19.5" x14ac:dyDescent="0.25">
      <c r="A38" s="59" t="s">
        <v>128</v>
      </c>
      <c r="B38" s="59" t="s">
        <v>144</v>
      </c>
      <c r="C38" s="81" t="s">
        <v>145</v>
      </c>
      <c r="D38" s="71"/>
      <c r="E38" s="60" t="s">
        <v>146</v>
      </c>
      <c r="F38" s="61" t="s">
        <v>147</v>
      </c>
      <c r="G38" s="62">
        <v>2</v>
      </c>
      <c r="H38" s="62">
        <v>1274.8599999999999</v>
      </c>
      <c r="I38" s="62">
        <v>2550</v>
      </c>
      <c r="J38" s="56"/>
      <c r="K38" s="56"/>
    </row>
    <row r="39" spans="1:11" ht="19.5" x14ac:dyDescent="0.25">
      <c r="A39" s="59" t="s">
        <v>133</v>
      </c>
      <c r="B39" s="59" t="s">
        <v>148</v>
      </c>
      <c r="C39" s="81" t="s">
        <v>149</v>
      </c>
      <c r="D39" s="71"/>
      <c r="E39" s="60" t="s">
        <v>150</v>
      </c>
      <c r="F39" s="61" t="s">
        <v>147</v>
      </c>
      <c r="G39" s="62">
        <v>1</v>
      </c>
      <c r="H39" s="62">
        <v>616.58000000000004</v>
      </c>
      <c r="I39" s="62">
        <v>617</v>
      </c>
      <c r="J39" s="56"/>
      <c r="K39" s="56"/>
    </row>
    <row r="40" spans="1:11" ht="29.25" x14ac:dyDescent="0.25">
      <c r="A40" s="59" t="s">
        <v>137</v>
      </c>
      <c r="B40" s="59" t="s">
        <v>151</v>
      </c>
      <c r="C40" s="81" t="s">
        <v>152</v>
      </c>
      <c r="D40" s="71"/>
      <c r="E40" s="60" t="s">
        <v>153</v>
      </c>
      <c r="F40" s="61" t="s">
        <v>154</v>
      </c>
      <c r="G40" s="62">
        <v>3.3450000000000002</v>
      </c>
      <c r="H40" s="62">
        <v>17.53</v>
      </c>
      <c r="I40" s="62">
        <v>59</v>
      </c>
      <c r="J40" s="56"/>
      <c r="K40" s="56"/>
    </row>
    <row r="41" spans="1:11" ht="19.5" x14ac:dyDescent="0.25">
      <c r="A41" s="59" t="s">
        <v>140</v>
      </c>
      <c r="B41" s="59" t="s">
        <v>155</v>
      </c>
      <c r="C41" s="81" t="s">
        <v>156</v>
      </c>
      <c r="D41" s="71"/>
      <c r="E41" s="60" t="s">
        <v>157</v>
      </c>
      <c r="F41" s="61" t="s">
        <v>158</v>
      </c>
      <c r="G41" s="62">
        <v>1</v>
      </c>
      <c r="H41" s="62">
        <v>155.49</v>
      </c>
      <c r="I41" s="62">
        <v>155</v>
      </c>
      <c r="J41" s="56"/>
      <c r="K41" s="56"/>
    </row>
    <row r="42" spans="1:11" ht="19.5" x14ac:dyDescent="0.25">
      <c r="A42" s="59" t="s">
        <v>144</v>
      </c>
      <c r="B42" s="59" t="s">
        <v>159</v>
      </c>
      <c r="C42" s="81" t="s">
        <v>160</v>
      </c>
      <c r="D42" s="71"/>
      <c r="E42" s="60" t="s">
        <v>161</v>
      </c>
      <c r="F42" s="61" t="s">
        <v>126</v>
      </c>
      <c r="G42" s="62">
        <v>3.3450000000000002</v>
      </c>
      <c r="H42" s="62">
        <v>17.059999999999999</v>
      </c>
      <c r="I42" s="62">
        <v>57</v>
      </c>
      <c r="J42" s="56"/>
      <c r="K42" s="56"/>
    </row>
    <row r="43" spans="1:11" ht="29.25" x14ac:dyDescent="0.25">
      <c r="A43" s="59" t="s">
        <v>162</v>
      </c>
      <c r="B43" s="59" t="s">
        <v>163</v>
      </c>
      <c r="C43" s="81" t="s">
        <v>164</v>
      </c>
      <c r="D43" s="71"/>
      <c r="E43" s="60" t="s">
        <v>165</v>
      </c>
      <c r="F43" s="61" t="s">
        <v>154</v>
      </c>
      <c r="G43" s="62">
        <v>0.27500000000000002</v>
      </c>
      <c r="H43" s="62">
        <v>17.53</v>
      </c>
      <c r="I43" s="62">
        <v>5</v>
      </c>
      <c r="J43" s="56"/>
      <c r="K43" s="56"/>
    </row>
    <row r="44" spans="1:11" ht="19.5" x14ac:dyDescent="0.25">
      <c r="A44" s="59" t="s">
        <v>148</v>
      </c>
      <c r="B44" s="59" t="s">
        <v>166</v>
      </c>
      <c r="C44" s="81" t="s">
        <v>167</v>
      </c>
      <c r="D44" s="71"/>
      <c r="E44" s="60" t="s">
        <v>168</v>
      </c>
      <c r="F44" s="61" t="s">
        <v>158</v>
      </c>
      <c r="G44" s="62">
        <v>1</v>
      </c>
      <c r="H44" s="62">
        <v>93.88</v>
      </c>
      <c r="I44" s="62">
        <v>94</v>
      </c>
      <c r="J44" s="56"/>
      <c r="K44" s="56"/>
    </row>
    <row r="45" spans="1:11" ht="19.5" x14ac:dyDescent="0.25">
      <c r="A45" s="59" t="s">
        <v>169</v>
      </c>
      <c r="B45" s="59" t="s">
        <v>170</v>
      </c>
      <c r="C45" s="81" t="s">
        <v>171</v>
      </c>
      <c r="D45" s="71"/>
      <c r="E45" s="60" t="s">
        <v>172</v>
      </c>
      <c r="F45" s="61" t="s">
        <v>126</v>
      </c>
      <c r="G45" s="62">
        <v>0.27500000000000002</v>
      </c>
      <c r="H45" s="62">
        <v>16.940000000000001</v>
      </c>
      <c r="I45" s="62">
        <v>5</v>
      </c>
      <c r="J45" s="56"/>
      <c r="K45" s="56"/>
    </row>
    <row r="46" spans="1:11" ht="29.25" x14ac:dyDescent="0.25">
      <c r="A46" s="59" t="s">
        <v>151</v>
      </c>
      <c r="B46" s="59" t="s">
        <v>173</v>
      </c>
      <c r="C46" s="81" t="s">
        <v>174</v>
      </c>
      <c r="D46" s="71"/>
      <c r="E46" s="60" t="s">
        <v>175</v>
      </c>
      <c r="F46" s="61" t="s">
        <v>176</v>
      </c>
      <c r="G46" s="62">
        <v>1</v>
      </c>
      <c r="H46" s="62">
        <v>2825.76</v>
      </c>
      <c r="I46" s="62">
        <v>2826</v>
      </c>
      <c r="J46" s="56"/>
      <c r="K46" s="56"/>
    </row>
    <row r="47" spans="1:11" x14ac:dyDescent="0.25">
      <c r="A47" s="56"/>
      <c r="B47" s="56"/>
      <c r="C47" s="56"/>
      <c r="D47" s="56"/>
      <c r="E47" s="56"/>
      <c r="F47" s="56"/>
      <c r="G47" s="56"/>
      <c r="H47" s="56"/>
      <c r="I47" s="56"/>
      <c r="J47" s="56"/>
      <c r="K47" s="56"/>
    </row>
    <row r="48" spans="1:11" x14ac:dyDescent="0.25">
      <c r="A48" s="85" t="s">
        <v>177</v>
      </c>
      <c r="B48" s="86"/>
      <c r="C48" s="86"/>
      <c r="D48" s="86"/>
      <c r="E48" s="86"/>
      <c r="F48" s="86"/>
      <c r="G48" s="86"/>
      <c r="H48" s="86"/>
      <c r="I48" s="86"/>
      <c r="J48" s="56"/>
      <c r="K48" s="56"/>
    </row>
    <row r="49" spans="1:11" ht="19.5" x14ac:dyDescent="0.25">
      <c r="A49" s="59" t="s">
        <v>155</v>
      </c>
      <c r="B49" s="59" t="s">
        <v>178</v>
      </c>
      <c r="C49" s="81" t="s">
        <v>179</v>
      </c>
      <c r="D49" s="71"/>
      <c r="E49" s="60" t="s">
        <v>180</v>
      </c>
      <c r="F49" s="61" t="s">
        <v>181</v>
      </c>
      <c r="G49" s="62">
        <v>1</v>
      </c>
      <c r="H49" s="62">
        <v>1608.54</v>
      </c>
      <c r="I49" s="62">
        <v>1609</v>
      </c>
      <c r="J49" s="56"/>
      <c r="K49" s="56"/>
    </row>
    <row r="50" spans="1:11" ht="19.5" x14ac:dyDescent="0.25">
      <c r="A50" s="59" t="s">
        <v>159</v>
      </c>
      <c r="B50" s="59" t="s">
        <v>182</v>
      </c>
      <c r="C50" s="81" t="s">
        <v>183</v>
      </c>
      <c r="D50" s="71"/>
      <c r="E50" s="60" t="s">
        <v>184</v>
      </c>
      <c r="F50" s="61" t="s">
        <v>185</v>
      </c>
      <c r="G50" s="62">
        <v>1</v>
      </c>
      <c r="H50" s="62">
        <v>194.86</v>
      </c>
      <c r="I50" s="62">
        <v>195</v>
      </c>
      <c r="J50" s="56"/>
      <c r="K50" s="56"/>
    </row>
    <row r="51" spans="1:11" ht="19.5" x14ac:dyDescent="0.25">
      <c r="A51" s="59" t="s">
        <v>163</v>
      </c>
      <c r="B51" s="59" t="s">
        <v>186</v>
      </c>
      <c r="C51" s="81" t="s">
        <v>187</v>
      </c>
      <c r="D51" s="71"/>
      <c r="E51" s="60" t="s">
        <v>150</v>
      </c>
      <c r="F51" s="61" t="s">
        <v>147</v>
      </c>
      <c r="G51" s="62">
        <v>1</v>
      </c>
      <c r="H51" s="62">
        <v>616.58000000000004</v>
      </c>
      <c r="I51" s="62">
        <v>617</v>
      </c>
      <c r="J51" s="56"/>
      <c r="K51" s="56"/>
    </row>
    <row r="52" spans="1:11" ht="19.5" x14ac:dyDescent="0.25">
      <c r="A52" s="59" t="s">
        <v>166</v>
      </c>
      <c r="B52" s="59" t="s">
        <v>188</v>
      </c>
      <c r="C52" s="81" t="s">
        <v>189</v>
      </c>
      <c r="D52" s="71"/>
      <c r="E52" s="60" t="s">
        <v>135</v>
      </c>
      <c r="F52" s="61" t="s">
        <v>126</v>
      </c>
      <c r="G52" s="62">
        <v>0.01</v>
      </c>
      <c r="H52" s="62">
        <v>5864.13</v>
      </c>
      <c r="I52" s="62">
        <v>59</v>
      </c>
      <c r="J52" s="56"/>
      <c r="K52" s="56"/>
    </row>
    <row r="53" spans="1:11" ht="19.5" x14ac:dyDescent="0.25">
      <c r="A53" s="59" t="s">
        <v>170</v>
      </c>
      <c r="B53" s="59" t="s">
        <v>190</v>
      </c>
      <c r="C53" s="81" t="s">
        <v>138</v>
      </c>
      <c r="D53" s="71"/>
      <c r="E53" s="60" t="s">
        <v>139</v>
      </c>
      <c r="F53" s="61" t="s">
        <v>131</v>
      </c>
      <c r="G53" s="62">
        <v>-1.01</v>
      </c>
      <c r="H53" s="62">
        <v>38.090000000000003</v>
      </c>
      <c r="I53" s="62">
        <v>-38</v>
      </c>
      <c r="J53" s="56"/>
      <c r="K53" s="56"/>
    </row>
    <row r="54" spans="1:11" ht="19.5" x14ac:dyDescent="0.25">
      <c r="A54" s="59" t="s">
        <v>173</v>
      </c>
      <c r="B54" s="59" t="s">
        <v>191</v>
      </c>
      <c r="C54" s="81" t="s">
        <v>192</v>
      </c>
      <c r="D54" s="71"/>
      <c r="E54" s="60" t="s">
        <v>142</v>
      </c>
      <c r="F54" s="61" t="s">
        <v>143</v>
      </c>
      <c r="G54" s="62">
        <v>6.9999999999999999E-4</v>
      </c>
      <c r="H54" s="62">
        <v>24965.67</v>
      </c>
      <c r="I54" s="62">
        <v>17</v>
      </c>
      <c r="J54" s="56"/>
      <c r="K54" s="56"/>
    </row>
    <row r="55" spans="1:11" ht="19.5" x14ac:dyDescent="0.25">
      <c r="A55" s="59" t="s">
        <v>193</v>
      </c>
      <c r="B55" s="59" t="s">
        <v>194</v>
      </c>
      <c r="C55" s="81" t="s">
        <v>195</v>
      </c>
      <c r="D55" s="71"/>
      <c r="E55" s="60" t="s">
        <v>196</v>
      </c>
      <c r="F55" s="61" t="s">
        <v>197</v>
      </c>
      <c r="G55" s="62">
        <v>1</v>
      </c>
      <c r="H55" s="62">
        <v>38.22</v>
      </c>
      <c r="I55" s="62">
        <v>38</v>
      </c>
      <c r="J55" s="56"/>
      <c r="K55" s="56"/>
    </row>
    <row r="56" spans="1:11" x14ac:dyDescent="0.25">
      <c r="A56" s="56"/>
      <c r="B56" s="56"/>
      <c r="C56" s="56"/>
      <c r="D56" s="56"/>
      <c r="E56" s="56"/>
      <c r="F56" s="56"/>
      <c r="G56" s="56"/>
      <c r="H56" s="56"/>
      <c r="I56" s="56"/>
      <c r="J56" s="56"/>
      <c r="K56" s="56"/>
    </row>
    <row r="57" spans="1:11" x14ac:dyDescent="0.25">
      <c r="A57" s="85" t="s">
        <v>198</v>
      </c>
      <c r="B57" s="86"/>
      <c r="C57" s="86"/>
      <c r="D57" s="86"/>
      <c r="E57" s="86"/>
      <c r="F57" s="86"/>
      <c r="G57" s="86"/>
      <c r="H57" s="86"/>
      <c r="I57" s="86"/>
      <c r="J57" s="56"/>
      <c r="K57" s="56"/>
    </row>
    <row r="58" spans="1:11" ht="29.25" x14ac:dyDescent="0.25">
      <c r="A58" s="59" t="s">
        <v>199</v>
      </c>
      <c r="B58" s="59" t="s">
        <v>200</v>
      </c>
      <c r="C58" s="81" t="s">
        <v>201</v>
      </c>
      <c r="D58" s="71"/>
      <c r="E58" s="60" t="s">
        <v>202</v>
      </c>
      <c r="F58" s="61" t="s">
        <v>154</v>
      </c>
      <c r="G58" s="62">
        <v>1E-3</v>
      </c>
      <c r="H58" s="62">
        <v>12692.01</v>
      </c>
      <c r="I58" s="62">
        <v>13</v>
      </c>
      <c r="J58" s="56"/>
      <c r="K58" s="56"/>
    </row>
    <row r="59" spans="1:11" ht="19.5" x14ac:dyDescent="0.25">
      <c r="A59" s="59" t="s">
        <v>203</v>
      </c>
      <c r="B59" s="59" t="s">
        <v>204</v>
      </c>
      <c r="C59" s="81" t="s">
        <v>205</v>
      </c>
      <c r="D59" s="71"/>
      <c r="E59" s="60" t="s">
        <v>206</v>
      </c>
      <c r="F59" s="61" t="s">
        <v>131</v>
      </c>
      <c r="G59" s="62">
        <v>-0.1</v>
      </c>
      <c r="H59" s="62">
        <v>113.6</v>
      </c>
      <c r="I59" s="62">
        <v>-11</v>
      </c>
      <c r="J59" s="56"/>
      <c r="K59" s="56"/>
    </row>
    <row r="60" spans="1:11" ht="29.25" x14ac:dyDescent="0.25">
      <c r="A60" s="59" t="s">
        <v>207</v>
      </c>
      <c r="B60" s="59" t="s">
        <v>208</v>
      </c>
      <c r="C60" s="81" t="s">
        <v>209</v>
      </c>
      <c r="D60" s="71"/>
      <c r="E60" s="60" t="s">
        <v>210</v>
      </c>
      <c r="F60" s="61" t="s">
        <v>154</v>
      </c>
      <c r="G60" s="62">
        <v>4.7E-2</v>
      </c>
      <c r="H60" s="62">
        <v>16295.67</v>
      </c>
      <c r="I60" s="62">
        <v>766</v>
      </c>
      <c r="J60" s="56"/>
      <c r="K60" s="56"/>
    </row>
    <row r="61" spans="1:11" ht="19.5" x14ac:dyDescent="0.25">
      <c r="A61" s="59" t="s">
        <v>211</v>
      </c>
      <c r="B61" s="59" t="s">
        <v>212</v>
      </c>
      <c r="C61" s="81" t="s">
        <v>213</v>
      </c>
      <c r="D61" s="71"/>
      <c r="E61" s="60" t="s">
        <v>214</v>
      </c>
      <c r="F61" s="61" t="s">
        <v>131</v>
      </c>
      <c r="G61" s="62">
        <v>-4.7</v>
      </c>
      <c r="H61" s="62">
        <v>149.47</v>
      </c>
      <c r="I61" s="62">
        <v>-703</v>
      </c>
      <c r="J61" s="56"/>
      <c r="K61" s="56"/>
    </row>
    <row r="62" spans="1:11" ht="29.25" x14ac:dyDescent="0.25">
      <c r="A62" s="59" t="s">
        <v>215</v>
      </c>
      <c r="B62" s="59" t="s">
        <v>216</v>
      </c>
      <c r="C62" s="81" t="s">
        <v>217</v>
      </c>
      <c r="D62" s="71"/>
      <c r="E62" s="60" t="s">
        <v>218</v>
      </c>
      <c r="F62" s="61" t="s">
        <v>219</v>
      </c>
      <c r="G62" s="62">
        <v>0.48</v>
      </c>
      <c r="H62" s="62">
        <v>43.17</v>
      </c>
      <c r="I62" s="62">
        <v>21</v>
      </c>
      <c r="J62" s="56"/>
      <c r="K62" s="56"/>
    </row>
    <row r="63" spans="1:11" ht="19.5" x14ac:dyDescent="0.25">
      <c r="A63" s="59" t="s">
        <v>220</v>
      </c>
      <c r="B63" s="59" t="s">
        <v>221</v>
      </c>
      <c r="C63" s="81" t="s">
        <v>222</v>
      </c>
      <c r="D63" s="71"/>
      <c r="E63" s="60" t="s">
        <v>223</v>
      </c>
      <c r="F63" s="61" t="s">
        <v>224</v>
      </c>
      <c r="G63" s="62">
        <v>8</v>
      </c>
      <c r="H63" s="62">
        <v>258.67</v>
      </c>
      <c r="I63" s="62">
        <v>2069</v>
      </c>
      <c r="J63" s="56"/>
      <c r="K63" s="56"/>
    </row>
    <row r="64" spans="1:11" ht="19.5" x14ac:dyDescent="0.25">
      <c r="A64" s="59" t="s">
        <v>225</v>
      </c>
      <c r="B64" s="59" t="s">
        <v>226</v>
      </c>
      <c r="C64" s="81" t="s">
        <v>227</v>
      </c>
      <c r="D64" s="71"/>
      <c r="E64" s="60" t="s">
        <v>228</v>
      </c>
      <c r="F64" s="61" t="s">
        <v>181</v>
      </c>
      <c r="G64" s="62">
        <v>-8</v>
      </c>
      <c r="H64" s="62">
        <v>98.57</v>
      </c>
      <c r="I64" s="62">
        <v>-789</v>
      </c>
      <c r="J64" s="56"/>
      <c r="K64" s="56"/>
    </row>
    <row r="65" spans="1:11" ht="19.5" x14ac:dyDescent="0.25">
      <c r="A65" s="59" t="s">
        <v>229</v>
      </c>
      <c r="B65" s="59" t="s">
        <v>230</v>
      </c>
      <c r="C65" s="81" t="s">
        <v>231</v>
      </c>
      <c r="D65" s="71"/>
      <c r="E65" s="60" t="s">
        <v>232</v>
      </c>
      <c r="F65" s="61" t="s">
        <v>233</v>
      </c>
      <c r="G65" s="62">
        <v>1</v>
      </c>
      <c r="H65" s="62">
        <v>1617.19</v>
      </c>
      <c r="I65" s="62">
        <v>1617</v>
      </c>
      <c r="J65" s="56"/>
      <c r="K65" s="56"/>
    </row>
    <row r="66" spans="1:11" ht="19.5" x14ac:dyDescent="0.25">
      <c r="A66" s="59" t="s">
        <v>234</v>
      </c>
      <c r="B66" s="59" t="s">
        <v>235</v>
      </c>
      <c r="C66" s="81" t="s">
        <v>236</v>
      </c>
      <c r="D66" s="71"/>
      <c r="E66" s="60" t="s">
        <v>237</v>
      </c>
      <c r="F66" s="61" t="s">
        <v>181</v>
      </c>
      <c r="G66" s="62">
        <v>-1</v>
      </c>
      <c r="H66" s="62">
        <v>1215.75</v>
      </c>
      <c r="I66" s="62">
        <v>-1216</v>
      </c>
      <c r="J66" s="56"/>
      <c r="K66" s="56"/>
    </row>
    <row r="67" spans="1:11" ht="19.5" x14ac:dyDescent="0.25">
      <c r="A67" s="59" t="s">
        <v>238</v>
      </c>
      <c r="B67" s="59" t="s">
        <v>239</v>
      </c>
      <c r="C67" s="81" t="s">
        <v>240</v>
      </c>
      <c r="D67" s="71"/>
      <c r="E67" s="60" t="s">
        <v>241</v>
      </c>
      <c r="F67" s="61" t="s">
        <v>181</v>
      </c>
      <c r="G67" s="62">
        <v>4</v>
      </c>
      <c r="H67" s="62">
        <v>285.64999999999998</v>
      </c>
      <c r="I67" s="62">
        <v>1143</v>
      </c>
      <c r="J67" s="56"/>
      <c r="K67" s="56"/>
    </row>
    <row r="68" spans="1:11" ht="19.5" x14ac:dyDescent="0.25">
      <c r="A68" s="59" t="s">
        <v>242</v>
      </c>
      <c r="B68" s="59" t="s">
        <v>243</v>
      </c>
      <c r="C68" s="81" t="s">
        <v>244</v>
      </c>
      <c r="D68" s="71"/>
      <c r="E68" s="60" t="s">
        <v>245</v>
      </c>
      <c r="F68" s="61" t="s">
        <v>181</v>
      </c>
      <c r="G68" s="62">
        <v>1</v>
      </c>
      <c r="H68" s="62">
        <v>98.39</v>
      </c>
      <c r="I68" s="62">
        <v>98</v>
      </c>
      <c r="J68" s="56"/>
      <c r="K68" s="56"/>
    </row>
    <row r="69" spans="1:11" ht="19.5" x14ac:dyDescent="0.25">
      <c r="A69" s="59" t="s">
        <v>246</v>
      </c>
      <c r="B69" s="59" t="s">
        <v>247</v>
      </c>
      <c r="C69" s="81" t="s">
        <v>248</v>
      </c>
      <c r="D69" s="71"/>
      <c r="E69" s="60" t="s">
        <v>249</v>
      </c>
      <c r="F69" s="61" t="s">
        <v>250</v>
      </c>
      <c r="G69" s="62">
        <v>0.01</v>
      </c>
      <c r="H69" s="62">
        <v>3398.4</v>
      </c>
      <c r="I69" s="62">
        <v>34</v>
      </c>
      <c r="J69" s="56"/>
      <c r="K69" s="56"/>
    </row>
    <row r="70" spans="1:11" ht="19.5" x14ac:dyDescent="0.25">
      <c r="A70" s="59" t="s">
        <v>178</v>
      </c>
      <c r="B70" s="59" t="s">
        <v>251</v>
      </c>
      <c r="C70" s="81" t="s">
        <v>252</v>
      </c>
      <c r="D70" s="71"/>
      <c r="E70" s="60" t="s">
        <v>253</v>
      </c>
      <c r="F70" s="61" t="s">
        <v>181</v>
      </c>
      <c r="G70" s="62">
        <v>-1</v>
      </c>
      <c r="H70" s="62">
        <v>10.19</v>
      </c>
      <c r="I70" s="62">
        <v>-10</v>
      </c>
      <c r="J70" s="56"/>
      <c r="K70" s="56"/>
    </row>
    <row r="71" spans="1:11" ht="19.5" x14ac:dyDescent="0.25">
      <c r="A71" s="59" t="s">
        <v>182</v>
      </c>
      <c r="B71" s="59" t="s">
        <v>254</v>
      </c>
      <c r="C71" s="81" t="s">
        <v>255</v>
      </c>
      <c r="D71" s="71"/>
      <c r="E71" s="60" t="s">
        <v>256</v>
      </c>
      <c r="F71" s="61" t="s">
        <v>181</v>
      </c>
      <c r="G71" s="62">
        <v>1</v>
      </c>
      <c r="H71" s="62">
        <v>98.04</v>
      </c>
      <c r="I71" s="62">
        <v>98</v>
      </c>
      <c r="J71" s="56"/>
      <c r="K71" s="56"/>
    </row>
    <row r="72" spans="1:11" ht="19.5" x14ac:dyDescent="0.25">
      <c r="A72" s="59" t="s">
        <v>257</v>
      </c>
      <c r="B72" s="59" t="s">
        <v>258</v>
      </c>
      <c r="C72" s="81" t="s">
        <v>259</v>
      </c>
      <c r="D72" s="71"/>
      <c r="E72" s="60" t="s">
        <v>260</v>
      </c>
      <c r="F72" s="61" t="s">
        <v>126</v>
      </c>
      <c r="G72" s="62">
        <v>4.8000000000000001E-2</v>
      </c>
      <c r="H72" s="62">
        <v>557.04</v>
      </c>
      <c r="I72" s="62">
        <v>27</v>
      </c>
      <c r="J72" s="56"/>
      <c r="K72" s="56"/>
    </row>
    <row r="73" spans="1:11" x14ac:dyDescent="0.25">
      <c r="A73" s="56"/>
      <c r="B73" s="56"/>
      <c r="C73" s="56"/>
      <c r="D73" s="56"/>
      <c r="E73" s="56"/>
      <c r="F73" s="56"/>
      <c r="G73" s="56"/>
      <c r="H73" s="56"/>
      <c r="I73" s="56"/>
      <c r="J73" s="56"/>
      <c r="K73" s="56"/>
    </row>
    <row r="74" spans="1:11" x14ac:dyDescent="0.25">
      <c r="A74" s="85" t="s">
        <v>261</v>
      </c>
      <c r="B74" s="86"/>
      <c r="C74" s="86"/>
      <c r="D74" s="86"/>
      <c r="E74" s="86"/>
      <c r="F74" s="86"/>
      <c r="G74" s="86"/>
      <c r="H74" s="86"/>
      <c r="I74" s="86"/>
      <c r="J74" s="56"/>
      <c r="K74" s="56"/>
    </row>
    <row r="75" spans="1:11" ht="19.5" x14ac:dyDescent="0.25">
      <c r="A75" s="59" t="s">
        <v>262</v>
      </c>
      <c r="B75" s="59" t="s">
        <v>263</v>
      </c>
      <c r="C75" s="81" t="s">
        <v>264</v>
      </c>
      <c r="D75" s="71"/>
      <c r="E75" s="60" t="s">
        <v>265</v>
      </c>
      <c r="F75" s="61" t="s">
        <v>181</v>
      </c>
      <c r="G75" s="62">
        <v>2</v>
      </c>
      <c r="H75" s="62">
        <v>84.41</v>
      </c>
      <c r="I75" s="62">
        <v>169</v>
      </c>
      <c r="J75" s="56"/>
      <c r="K75" s="56"/>
    </row>
    <row r="76" spans="1:11" ht="19.5" x14ac:dyDescent="0.25">
      <c r="A76" s="59" t="s">
        <v>186</v>
      </c>
      <c r="B76" s="59" t="s">
        <v>266</v>
      </c>
      <c r="C76" s="81" t="s">
        <v>267</v>
      </c>
      <c r="D76" s="71"/>
      <c r="E76" s="60" t="s">
        <v>268</v>
      </c>
      <c r="F76" s="61" t="s">
        <v>181</v>
      </c>
      <c r="G76" s="62">
        <v>4</v>
      </c>
      <c r="H76" s="62">
        <v>14.38</v>
      </c>
      <c r="I76" s="62">
        <v>58</v>
      </c>
      <c r="J76" s="56"/>
      <c r="K76" s="56"/>
    </row>
    <row r="77" spans="1:11" ht="19.5" x14ac:dyDescent="0.25">
      <c r="A77" s="59" t="s">
        <v>269</v>
      </c>
      <c r="B77" s="59" t="s">
        <v>270</v>
      </c>
      <c r="C77" s="81" t="s">
        <v>271</v>
      </c>
      <c r="D77" s="71"/>
      <c r="E77" s="60" t="s">
        <v>272</v>
      </c>
      <c r="F77" s="61" t="s">
        <v>181</v>
      </c>
      <c r="G77" s="62">
        <v>2</v>
      </c>
      <c r="H77" s="62">
        <v>239.84</v>
      </c>
      <c r="I77" s="62">
        <v>480</v>
      </c>
      <c r="J77" s="56"/>
      <c r="K77" s="56"/>
    </row>
    <row r="78" spans="1:11" ht="19.5" x14ac:dyDescent="0.25">
      <c r="A78" s="59" t="s">
        <v>188</v>
      </c>
      <c r="B78" s="59" t="s">
        <v>273</v>
      </c>
      <c r="C78" s="81" t="s">
        <v>274</v>
      </c>
      <c r="D78" s="71"/>
      <c r="E78" s="60" t="s">
        <v>275</v>
      </c>
      <c r="F78" s="61" t="s">
        <v>181</v>
      </c>
      <c r="G78" s="62">
        <v>2</v>
      </c>
      <c r="H78" s="62">
        <v>30.73</v>
      </c>
      <c r="I78" s="62">
        <v>61</v>
      </c>
      <c r="J78" s="56"/>
      <c r="K78" s="56"/>
    </row>
    <row r="79" spans="1:11" ht="19.5" x14ac:dyDescent="0.25">
      <c r="A79" s="59" t="s">
        <v>190</v>
      </c>
      <c r="B79" s="59" t="s">
        <v>276</v>
      </c>
      <c r="C79" s="81" t="s">
        <v>277</v>
      </c>
      <c r="D79" s="71"/>
      <c r="E79" s="60" t="s">
        <v>275</v>
      </c>
      <c r="F79" s="61" t="s">
        <v>181</v>
      </c>
      <c r="G79" s="62">
        <v>1</v>
      </c>
      <c r="H79" s="62">
        <v>30.73</v>
      </c>
      <c r="I79" s="62">
        <v>31</v>
      </c>
      <c r="J79" s="56"/>
      <c r="K79" s="56"/>
    </row>
    <row r="80" spans="1:11" ht="19.5" x14ac:dyDescent="0.25">
      <c r="A80" s="59" t="s">
        <v>191</v>
      </c>
      <c r="B80" s="59" t="s">
        <v>278</v>
      </c>
      <c r="C80" s="81" t="s">
        <v>279</v>
      </c>
      <c r="D80" s="71"/>
      <c r="E80" s="60" t="s">
        <v>280</v>
      </c>
      <c r="F80" s="61" t="s">
        <v>281</v>
      </c>
      <c r="G80" s="62">
        <v>0.1</v>
      </c>
      <c r="H80" s="62">
        <v>215.21</v>
      </c>
      <c r="I80" s="62">
        <v>22</v>
      </c>
      <c r="J80" s="56"/>
      <c r="K80" s="56"/>
    </row>
    <row r="81" spans="1:11" ht="19.5" x14ac:dyDescent="0.25">
      <c r="A81" s="59" t="s">
        <v>194</v>
      </c>
      <c r="B81" s="59" t="s">
        <v>282</v>
      </c>
      <c r="C81" s="81" t="s">
        <v>283</v>
      </c>
      <c r="D81" s="71"/>
      <c r="E81" s="60" t="s">
        <v>284</v>
      </c>
      <c r="F81" s="61" t="s">
        <v>285</v>
      </c>
      <c r="G81" s="62">
        <v>0.1</v>
      </c>
      <c r="H81" s="62">
        <v>293.52999999999997</v>
      </c>
      <c r="I81" s="62">
        <v>29</v>
      </c>
      <c r="J81" s="56"/>
      <c r="K81" s="56"/>
    </row>
    <row r="82" spans="1:11" ht="19.5" x14ac:dyDescent="0.25">
      <c r="A82" s="59" t="s">
        <v>286</v>
      </c>
      <c r="B82" s="59" t="s">
        <v>287</v>
      </c>
      <c r="C82" s="81" t="s">
        <v>288</v>
      </c>
      <c r="D82" s="71"/>
      <c r="E82" s="60" t="s">
        <v>289</v>
      </c>
      <c r="F82" s="61" t="s">
        <v>181</v>
      </c>
      <c r="G82" s="62">
        <v>1</v>
      </c>
      <c r="H82" s="62">
        <v>189.38</v>
      </c>
      <c r="I82" s="62">
        <v>189</v>
      </c>
      <c r="J82" s="56"/>
      <c r="K82" s="56"/>
    </row>
    <row r="83" spans="1:11" ht="19.5" x14ac:dyDescent="0.25">
      <c r="A83" s="59" t="s">
        <v>290</v>
      </c>
      <c r="B83" s="59" t="s">
        <v>291</v>
      </c>
      <c r="C83" s="81" t="s">
        <v>292</v>
      </c>
      <c r="D83" s="71"/>
      <c r="E83" s="60" t="s">
        <v>293</v>
      </c>
      <c r="F83" s="61" t="s">
        <v>181</v>
      </c>
      <c r="G83" s="62">
        <v>1</v>
      </c>
      <c r="H83" s="62">
        <v>50</v>
      </c>
      <c r="I83" s="62">
        <v>50</v>
      </c>
      <c r="J83" s="56"/>
      <c r="K83" s="56"/>
    </row>
    <row r="84" spans="1:11" ht="19.5" x14ac:dyDescent="0.25">
      <c r="A84" s="59" t="s">
        <v>294</v>
      </c>
      <c r="B84" s="59" t="s">
        <v>295</v>
      </c>
      <c r="C84" s="81" t="s">
        <v>296</v>
      </c>
      <c r="D84" s="71"/>
      <c r="E84" s="60" t="s">
        <v>297</v>
      </c>
      <c r="F84" s="61" t="s">
        <v>250</v>
      </c>
      <c r="G84" s="62">
        <v>0.01</v>
      </c>
      <c r="H84" s="62">
        <v>980.22</v>
      </c>
      <c r="I84" s="62">
        <v>10</v>
      </c>
      <c r="J84" s="56"/>
      <c r="K84" s="56"/>
    </row>
    <row r="85" spans="1:11" ht="19.5" x14ac:dyDescent="0.25">
      <c r="A85" s="59" t="s">
        <v>298</v>
      </c>
      <c r="B85" s="59" t="s">
        <v>299</v>
      </c>
      <c r="C85" s="81" t="s">
        <v>300</v>
      </c>
      <c r="D85" s="71"/>
      <c r="E85" s="60" t="s">
        <v>301</v>
      </c>
      <c r="F85" s="61" t="s">
        <v>181</v>
      </c>
      <c r="G85" s="62">
        <v>3</v>
      </c>
      <c r="H85" s="62">
        <v>23.54</v>
      </c>
      <c r="I85" s="62">
        <v>71</v>
      </c>
      <c r="J85" s="56"/>
      <c r="K85" s="56"/>
    </row>
    <row r="86" spans="1:11" ht="19.5" x14ac:dyDescent="0.25">
      <c r="A86" s="59" t="s">
        <v>302</v>
      </c>
      <c r="B86" s="59" t="s">
        <v>303</v>
      </c>
      <c r="C86" s="81" t="s">
        <v>304</v>
      </c>
      <c r="D86" s="71"/>
      <c r="E86" s="60" t="s">
        <v>305</v>
      </c>
      <c r="F86" s="61" t="s">
        <v>285</v>
      </c>
      <c r="G86" s="62">
        <v>0.03</v>
      </c>
      <c r="H86" s="62">
        <v>276.11</v>
      </c>
      <c r="I86" s="62">
        <v>8</v>
      </c>
      <c r="J86" s="56"/>
      <c r="K86" s="56"/>
    </row>
    <row r="87" spans="1:11" ht="19.5" x14ac:dyDescent="0.25">
      <c r="A87" s="59" t="s">
        <v>306</v>
      </c>
      <c r="B87" s="59" t="s">
        <v>307</v>
      </c>
      <c r="C87" s="81" t="s">
        <v>308</v>
      </c>
      <c r="D87" s="71"/>
      <c r="E87" s="60" t="s">
        <v>309</v>
      </c>
      <c r="F87" s="61" t="s">
        <v>285</v>
      </c>
      <c r="G87" s="62">
        <v>0.03</v>
      </c>
      <c r="H87" s="62">
        <v>27.38</v>
      </c>
      <c r="I87" s="62">
        <v>1</v>
      </c>
      <c r="J87" s="56"/>
      <c r="K87" s="56"/>
    </row>
    <row r="88" spans="1:11" ht="19.5" x14ac:dyDescent="0.25">
      <c r="A88" s="59" t="s">
        <v>310</v>
      </c>
      <c r="B88" s="59" t="s">
        <v>311</v>
      </c>
      <c r="C88" s="81" t="s">
        <v>312</v>
      </c>
      <c r="D88" s="71"/>
      <c r="E88" s="60" t="s">
        <v>313</v>
      </c>
      <c r="F88" s="61" t="s">
        <v>181</v>
      </c>
      <c r="G88" s="62">
        <v>9</v>
      </c>
      <c r="H88" s="62">
        <v>14.63</v>
      </c>
      <c r="I88" s="62">
        <v>132</v>
      </c>
      <c r="J88" s="56"/>
      <c r="K88" s="56"/>
    </row>
    <row r="89" spans="1:11" ht="19.5" x14ac:dyDescent="0.25">
      <c r="A89" s="59" t="s">
        <v>314</v>
      </c>
      <c r="B89" s="59" t="s">
        <v>315</v>
      </c>
      <c r="C89" s="81" t="s">
        <v>316</v>
      </c>
      <c r="D89" s="71"/>
      <c r="E89" s="60" t="s">
        <v>317</v>
      </c>
      <c r="F89" s="61" t="s">
        <v>318</v>
      </c>
      <c r="G89" s="62">
        <v>0.16</v>
      </c>
      <c r="H89" s="62">
        <v>186.13</v>
      </c>
      <c r="I89" s="62">
        <v>30</v>
      </c>
      <c r="J89" s="56"/>
      <c r="K89" s="56"/>
    </row>
    <row r="90" spans="1:11" ht="19.5" x14ac:dyDescent="0.25">
      <c r="A90" s="59" t="s">
        <v>319</v>
      </c>
      <c r="B90" s="59" t="s">
        <v>320</v>
      </c>
      <c r="C90" s="81" t="s">
        <v>321</v>
      </c>
      <c r="D90" s="71"/>
      <c r="E90" s="60" t="s">
        <v>322</v>
      </c>
      <c r="F90" s="61" t="s">
        <v>323</v>
      </c>
      <c r="G90" s="62">
        <v>0.16</v>
      </c>
      <c r="H90" s="62">
        <v>322.41000000000003</v>
      </c>
      <c r="I90" s="62">
        <v>52</v>
      </c>
      <c r="J90" s="56"/>
      <c r="K90" s="66" t="s">
        <v>386</v>
      </c>
    </row>
    <row r="91" spans="1:11" x14ac:dyDescent="0.25">
      <c r="A91" s="56"/>
      <c r="B91" s="56"/>
      <c r="C91" s="56"/>
      <c r="D91" s="56"/>
      <c r="E91" s="56"/>
      <c r="F91" s="56"/>
      <c r="G91" s="56"/>
      <c r="H91" s="56"/>
      <c r="I91" s="56"/>
      <c r="J91" s="56"/>
      <c r="K91" s="56"/>
    </row>
    <row r="92" spans="1:11" x14ac:dyDescent="0.25">
      <c r="A92" s="85" t="s">
        <v>324</v>
      </c>
      <c r="B92" s="86"/>
      <c r="C92" s="86"/>
      <c r="D92" s="86"/>
      <c r="E92" s="86"/>
      <c r="F92" s="86"/>
      <c r="G92" s="86"/>
      <c r="H92" s="86"/>
      <c r="I92" s="86"/>
      <c r="J92" s="56"/>
      <c r="K92" s="56"/>
    </row>
    <row r="93" spans="1:11" ht="19.5" x14ac:dyDescent="0.25">
      <c r="A93" s="59" t="s">
        <v>325</v>
      </c>
      <c r="B93" s="59" t="s">
        <v>326</v>
      </c>
      <c r="C93" s="81" t="s">
        <v>292</v>
      </c>
      <c r="D93" s="71"/>
      <c r="E93" s="60" t="s">
        <v>293</v>
      </c>
      <c r="F93" s="61" t="s">
        <v>181</v>
      </c>
      <c r="G93" s="62">
        <v>1</v>
      </c>
      <c r="H93" s="62">
        <v>50</v>
      </c>
      <c r="I93" s="62">
        <v>50</v>
      </c>
      <c r="J93" s="56"/>
      <c r="K93" s="56"/>
    </row>
    <row r="94" spans="1:11" ht="19.5" x14ac:dyDescent="0.25">
      <c r="A94" s="59" t="s">
        <v>327</v>
      </c>
      <c r="B94" s="59" t="s">
        <v>328</v>
      </c>
      <c r="C94" s="81" t="s">
        <v>329</v>
      </c>
      <c r="D94" s="71"/>
      <c r="E94" s="60" t="s">
        <v>284</v>
      </c>
      <c r="F94" s="61" t="s">
        <v>285</v>
      </c>
      <c r="G94" s="62">
        <v>0.15</v>
      </c>
      <c r="H94" s="62">
        <v>293.52999999999997</v>
      </c>
      <c r="I94" s="62">
        <v>44</v>
      </c>
      <c r="J94" s="56"/>
      <c r="K94" s="56"/>
    </row>
    <row r="95" spans="1:11" ht="19.5" x14ac:dyDescent="0.25">
      <c r="A95" s="59" t="s">
        <v>330</v>
      </c>
      <c r="B95" s="59" t="s">
        <v>331</v>
      </c>
      <c r="C95" s="81" t="s">
        <v>332</v>
      </c>
      <c r="D95" s="71"/>
      <c r="E95" s="60" t="s">
        <v>309</v>
      </c>
      <c r="F95" s="61" t="s">
        <v>285</v>
      </c>
      <c r="G95" s="62">
        <v>0.23</v>
      </c>
      <c r="H95" s="62">
        <v>27.38</v>
      </c>
      <c r="I95" s="62">
        <v>6</v>
      </c>
      <c r="J95" s="56"/>
      <c r="K95" s="56"/>
    </row>
    <row r="96" spans="1:11" ht="19.5" x14ac:dyDescent="0.25">
      <c r="A96" s="59" t="s">
        <v>333</v>
      </c>
      <c r="B96" s="59" t="s">
        <v>334</v>
      </c>
      <c r="C96" s="81" t="s">
        <v>335</v>
      </c>
      <c r="D96" s="71"/>
      <c r="E96" s="60" t="s">
        <v>317</v>
      </c>
      <c r="F96" s="61" t="s">
        <v>318</v>
      </c>
      <c r="G96" s="62">
        <v>0.03</v>
      </c>
      <c r="H96" s="62">
        <v>186.13</v>
      </c>
      <c r="I96" s="62">
        <v>6</v>
      </c>
      <c r="J96" s="56"/>
      <c r="K96" s="56"/>
    </row>
    <row r="97" spans="1:11" ht="19.5" x14ac:dyDescent="0.25">
      <c r="A97" s="59" t="s">
        <v>336</v>
      </c>
      <c r="B97" s="59" t="s">
        <v>337</v>
      </c>
      <c r="C97" s="81" t="s">
        <v>338</v>
      </c>
      <c r="D97" s="71"/>
      <c r="E97" s="60" t="s">
        <v>322</v>
      </c>
      <c r="F97" s="61" t="s">
        <v>323</v>
      </c>
      <c r="G97" s="62">
        <v>0.03</v>
      </c>
      <c r="H97" s="62">
        <v>322.41000000000003</v>
      </c>
      <c r="I97" s="62">
        <v>10</v>
      </c>
      <c r="J97" s="56"/>
      <c r="K97" s="56"/>
    </row>
    <row r="98" spans="1:11" x14ac:dyDescent="0.25">
      <c r="A98" s="56"/>
      <c r="B98" s="56"/>
      <c r="C98" s="56"/>
      <c r="D98" s="56"/>
      <c r="E98" s="56"/>
      <c r="F98" s="56"/>
      <c r="G98" s="56"/>
      <c r="H98" s="56"/>
      <c r="I98" s="56"/>
      <c r="J98" s="56"/>
      <c r="K98" s="56"/>
    </row>
    <row r="99" spans="1:11" x14ac:dyDescent="0.25">
      <c r="A99" s="85" t="s">
        <v>339</v>
      </c>
      <c r="B99" s="86"/>
      <c r="C99" s="86"/>
      <c r="D99" s="86"/>
      <c r="E99" s="86"/>
      <c r="F99" s="86"/>
      <c r="G99" s="86"/>
      <c r="H99" s="86"/>
      <c r="I99" s="86"/>
      <c r="J99" s="56"/>
      <c r="K99" s="56"/>
    </row>
    <row r="100" spans="1:11" ht="19.5" x14ac:dyDescent="0.25">
      <c r="A100" s="59" t="s">
        <v>340</v>
      </c>
      <c r="B100" s="59" t="s">
        <v>341</v>
      </c>
      <c r="C100" s="81" t="s">
        <v>342</v>
      </c>
      <c r="D100" s="71"/>
      <c r="E100" s="60" t="s">
        <v>343</v>
      </c>
      <c r="F100" s="61" t="s">
        <v>344</v>
      </c>
      <c r="G100" s="62">
        <v>1</v>
      </c>
      <c r="H100" s="62">
        <v>3554.31</v>
      </c>
      <c r="I100" s="62">
        <v>3554</v>
      </c>
      <c r="J100" s="56"/>
      <c r="K100" s="56"/>
    </row>
    <row r="101" spans="1:11" ht="19.5" x14ac:dyDescent="0.25">
      <c r="A101" s="59" t="s">
        <v>345</v>
      </c>
      <c r="B101" s="59" t="s">
        <v>346</v>
      </c>
      <c r="C101" s="81" t="s">
        <v>347</v>
      </c>
      <c r="D101" s="71"/>
      <c r="E101" s="60" t="s">
        <v>348</v>
      </c>
      <c r="F101" s="61" t="s">
        <v>349</v>
      </c>
      <c r="G101" s="62">
        <v>1</v>
      </c>
      <c r="H101" s="62">
        <v>3679.43</v>
      </c>
      <c r="I101" s="62">
        <v>3679</v>
      </c>
      <c r="J101" s="56"/>
      <c r="K101" s="56"/>
    </row>
    <row r="102" spans="1:11" ht="19.5" x14ac:dyDescent="0.25">
      <c r="A102" s="59" t="s">
        <v>350</v>
      </c>
      <c r="B102" s="59" t="s">
        <v>351</v>
      </c>
      <c r="C102" s="81" t="s">
        <v>352</v>
      </c>
      <c r="D102" s="71"/>
      <c r="E102" s="60" t="s">
        <v>353</v>
      </c>
      <c r="F102" s="61" t="s">
        <v>181</v>
      </c>
      <c r="G102" s="62">
        <v>1</v>
      </c>
      <c r="H102" s="62">
        <v>339.35</v>
      </c>
      <c r="I102" s="62">
        <v>339</v>
      </c>
      <c r="J102" s="56"/>
      <c r="K102" s="56"/>
    </row>
    <row r="103" spans="1:11" x14ac:dyDescent="0.25">
      <c r="A103" s="56"/>
      <c r="B103" s="56"/>
      <c r="C103" s="56"/>
      <c r="D103" s="56"/>
      <c r="E103" s="56"/>
      <c r="F103" s="56"/>
      <c r="G103" s="56"/>
      <c r="H103" s="56"/>
      <c r="I103" s="56"/>
      <c r="J103" s="56"/>
      <c r="K103" s="56"/>
    </row>
    <row r="104" spans="1:11" x14ac:dyDescent="0.25">
      <c r="A104" s="82" t="s">
        <v>354</v>
      </c>
      <c r="B104" s="83"/>
      <c r="C104" s="83"/>
      <c r="D104" s="83"/>
      <c r="E104" s="83"/>
      <c r="F104" s="83"/>
      <c r="G104" s="83"/>
      <c r="H104" s="84">
        <v>32795</v>
      </c>
      <c r="I104" s="83"/>
      <c r="J104" s="56"/>
      <c r="K104" s="56"/>
    </row>
    <row r="105" spans="1:11" x14ac:dyDescent="0.25">
      <c r="A105" s="56"/>
      <c r="B105" s="56"/>
      <c r="C105" s="56"/>
      <c r="D105" s="56"/>
      <c r="E105" s="56"/>
      <c r="F105" s="56"/>
      <c r="G105" s="56"/>
      <c r="H105" s="56"/>
      <c r="I105" s="56"/>
      <c r="J105" s="56"/>
      <c r="K105" s="56"/>
    </row>
    <row r="106" spans="1:11" x14ac:dyDescent="0.25">
      <c r="A106" s="70" t="s">
        <v>109</v>
      </c>
      <c r="B106" s="71"/>
      <c r="C106" s="70" t="s">
        <v>355</v>
      </c>
      <c r="D106" s="72"/>
      <c r="E106" s="72"/>
      <c r="F106" s="71"/>
      <c r="G106" s="63" t="s">
        <v>109</v>
      </c>
      <c r="H106" s="73">
        <v>32795</v>
      </c>
      <c r="I106" s="71"/>
      <c r="J106" s="56"/>
      <c r="K106" s="56"/>
    </row>
    <row r="107" spans="1:11" x14ac:dyDescent="0.25">
      <c r="A107" s="70" t="s">
        <v>109</v>
      </c>
      <c r="B107" s="71"/>
      <c r="C107" s="70" t="s">
        <v>356</v>
      </c>
      <c r="D107" s="72"/>
      <c r="E107" s="72"/>
      <c r="F107" s="71"/>
      <c r="G107" s="63" t="s">
        <v>109</v>
      </c>
      <c r="H107" s="73">
        <v>11644</v>
      </c>
      <c r="I107" s="71"/>
      <c r="J107" s="56"/>
      <c r="K107" s="56"/>
    </row>
    <row r="108" spans="1:11" x14ac:dyDescent="0.25">
      <c r="A108" s="70" t="s">
        <v>109</v>
      </c>
      <c r="B108" s="71"/>
      <c r="C108" s="70" t="s">
        <v>357</v>
      </c>
      <c r="D108" s="72"/>
      <c r="E108" s="72"/>
      <c r="F108" s="71"/>
      <c r="G108" s="63" t="s">
        <v>109</v>
      </c>
      <c r="H108" s="73">
        <v>12612</v>
      </c>
      <c r="I108" s="71"/>
      <c r="J108" s="56"/>
      <c r="K108" s="56"/>
    </row>
    <row r="109" spans="1:11" x14ac:dyDescent="0.25">
      <c r="A109" s="70" t="s">
        <v>109</v>
      </c>
      <c r="B109" s="71"/>
      <c r="C109" s="70" t="s">
        <v>358</v>
      </c>
      <c r="D109" s="72"/>
      <c r="E109" s="72"/>
      <c r="F109" s="71"/>
      <c r="G109" s="63" t="s">
        <v>109</v>
      </c>
      <c r="H109" s="73">
        <v>1251</v>
      </c>
      <c r="I109" s="71"/>
      <c r="J109" s="56"/>
      <c r="K109" s="56"/>
    </row>
    <row r="110" spans="1:11" x14ac:dyDescent="0.25">
      <c r="A110" s="70" t="s">
        <v>109</v>
      </c>
      <c r="B110" s="71"/>
      <c r="C110" s="70" t="s">
        <v>359</v>
      </c>
      <c r="D110" s="72"/>
      <c r="E110" s="72"/>
      <c r="F110" s="71"/>
      <c r="G110" s="63" t="s">
        <v>109</v>
      </c>
      <c r="H110" s="73">
        <v>8539</v>
      </c>
      <c r="I110" s="78"/>
      <c r="J110" s="56"/>
      <c r="K110" s="56"/>
    </row>
    <row r="111" spans="1:11" x14ac:dyDescent="0.25">
      <c r="A111" s="70" t="s">
        <v>109</v>
      </c>
      <c r="B111" s="78"/>
      <c r="C111" s="70" t="s">
        <v>360</v>
      </c>
      <c r="D111" s="79"/>
      <c r="E111" s="79"/>
      <c r="F111" s="78"/>
      <c r="G111" s="63" t="s">
        <v>109</v>
      </c>
      <c r="H111" s="73">
        <v>11361</v>
      </c>
      <c r="I111" s="78"/>
      <c r="J111" s="56"/>
      <c r="K111" s="56"/>
    </row>
    <row r="112" spans="1:11" x14ac:dyDescent="0.25">
      <c r="A112" s="70" t="s">
        <v>109</v>
      </c>
      <c r="B112" s="78"/>
      <c r="C112" s="70" t="s">
        <v>361</v>
      </c>
      <c r="D112" s="79"/>
      <c r="E112" s="79"/>
      <c r="F112" s="78"/>
      <c r="G112" s="63" t="s">
        <v>109</v>
      </c>
      <c r="H112" s="73">
        <v>753.67</v>
      </c>
      <c r="I112" s="78"/>
      <c r="J112" s="56"/>
      <c r="K112" s="56"/>
    </row>
    <row r="113" spans="1:11" x14ac:dyDescent="0.25">
      <c r="A113" s="70" t="s">
        <v>109</v>
      </c>
      <c r="B113" s="78"/>
      <c r="C113" s="70" t="s">
        <v>362</v>
      </c>
      <c r="D113" s="79"/>
      <c r="E113" s="79"/>
      <c r="F113" s="78"/>
      <c r="G113" s="63" t="s">
        <v>109</v>
      </c>
      <c r="H113" s="73">
        <v>75.95</v>
      </c>
      <c r="I113" s="78"/>
      <c r="J113" s="56"/>
      <c r="K113" s="56"/>
    </row>
    <row r="114" spans="1:11" x14ac:dyDescent="0.25">
      <c r="A114" s="70" t="s">
        <v>109</v>
      </c>
      <c r="B114" s="78"/>
      <c r="C114" s="70" t="s">
        <v>363</v>
      </c>
      <c r="D114" s="79"/>
      <c r="E114" s="79"/>
      <c r="F114" s="78"/>
      <c r="G114" s="63" t="s">
        <v>109</v>
      </c>
      <c r="H114" s="73">
        <v>11235</v>
      </c>
      <c r="I114" s="78"/>
      <c r="J114" s="56"/>
      <c r="K114" s="56"/>
    </row>
    <row r="115" spans="1:11" x14ac:dyDescent="0.25">
      <c r="A115" s="70" t="s">
        <v>109</v>
      </c>
      <c r="B115" s="78"/>
      <c r="C115" s="70" t="s">
        <v>364</v>
      </c>
      <c r="D115" s="79"/>
      <c r="E115" s="79"/>
      <c r="F115" s="78"/>
      <c r="G115" s="63" t="s">
        <v>109</v>
      </c>
      <c r="H115" s="73">
        <v>7372</v>
      </c>
      <c r="I115" s="78"/>
      <c r="J115" s="56"/>
      <c r="K115" s="56"/>
    </row>
    <row r="116" spans="1:11" x14ac:dyDescent="0.25">
      <c r="A116" s="70" t="s">
        <v>109</v>
      </c>
      <c r="B116" s="78"/>
      <c r="C116" s="70" t="s">
        <v>365</v>
      </c>
      <c r="D116" s="79"/>
      <c r="E116" s="79"/>
      <c r="F116" s="78"/>
      <c r="G116" s="63" t="s">
        <v>109</v>
      </c>
      <c r="H116" s="73">
        <v>51402</v>
      </c>
      <c r="I116" s="78"/>
      <c r="J116" s="56"/>
      <c r="K116" s="56"/>
    </row>
    <row r="117" spans="1:11" x14ac:dyDescent="0.25">
      <c r="A117" s="70" t="s">
        <v>109</v>
      </c>
      <c r="B117" s="78"/>
      <c r="C117" s="70" t="s">
        <v>366</v>
      </c>
      <c r="D117" s="79"/>
      <c r="E117" s="79"/>
      <c r="F117" s="78"/>
      <c r="G117" s="63" t="s">
        <v>109</v>
      </c>
      <c r="H117" s="80"/>
      <c r="I117" s="78"/>
      <c r="J117" s="56"/>
      <c r="K117" s="56"/>
    </row>
    <row r="118" spans="1:11" x14ac:dyDescent="0.25">
      <c r="A118" s="70" t="s">
        <v>109</v>
      </c>
      <c r="B118" s="78"/>
      <c r="C118" s="70" t="s">
        <v>367</v>
      </c>
      <c r="D118" s="79"/>
      <c r="E118" s="79"/>
      <c r="F118" s="78"/>
      <c r="G118" s="63" t="s">
        <v>368</v>
      </c>
      <c r="H118" s="73">
        <v>154749</v>
      </c>
      <c r="I118" s="78"/>
      <c r="J118" s="56"/>
      <c r="K118" s="56"/>
    </row>
    <row r="119" spans="1:11" x14ac:dyDescent="0.25">
      <c r="A119" s="70" t="s">
        <v>109</v>
      </c>
      <c r="B119" s="71"/>
      <c r="C119" s="70" t="s">
        <v>369</v>
      </c>
      <c r="D119" s="72"/>
      <c r="E119" s="72"/>
      <c r="F119" s="71"/>
      <c r="G119" s="63" t="s">
        <v>370</v>
      </c>
      <c r="H119" s="73">
        <v>126916</v>
      </c>
      <c r="I119" s="71"/>
      <c r="J119" s="56"/>
      <c r="K119" s="56"/>
    </row>
    <row r="120" spans="1:11" x14ac:dyDescent="0.25">
      <c r="A120" s="70" t="s">
        <v>109</v>
      </c>
      <c r="B120" s="71"/>
      <c r="C120" s="70" t="s">
        <v>371</v>
      </c>
      <c r="D120" s="72"/>
      <c r="E120" s="72"/>
      <c r="F120" s="71"/>
      <c r="G120" s="63" t="s">
        <v>372</v>
      </c>
      <c r="H120" s="73">
        <v>78379</v>
      </c>
      <c r="I120" s="71"/>
      <c r="J120" s="56"/>
      <c r="K120" s="56"/>
    </row>
    <row r="121" spans="1:11" x14ac:dyDescent="0.25">
      <c r="A121" s="70" t="s">
        <v>109</v>
      </c>
      <c r="B121" s="71"/>
      <c r="C121" s="70" t="s">
        <v>373</v>
      </c>
      <c r="D121" s="72"/>
      <c r="E121" s="72"/>
      <c r="F121" s="71"/>
      <c r="G121" s="63" t="s">
        <v>374</v>
      </c>
      <c r="H121" s="73">
        <v>67600</v>
      </c>
      <c r="I121" s="71"/>
      <c r="J121" s="56"/>
      <c r="K121" s="56"/>
    </row>
    <row r="122" spans="1:11" x14ac:dyDescent="0.25">
      <c r="A122" s="70" t="s">
        <v>109</v>
      </c>
      <c r="B122" s="71"/>
      <c r="C122" s="70" t="s">
        <v>375</v>
      </c>
      <c r="D122" s="72"/>
      <c r="E122" s="72"/>
      <c r="F122" s="71"/>
      <c r="G122" s="63" t="s">
        <v>376</v>
      </c>
      <c r="H122" s="73">
        <v>25019</v>
      </c>
      <c r="I122" s="71"/>
      <c r="J122" s="56"/>
      <c r="K122" s="56"/>
    </row>
    <row r="123" spans="1:11" x14ac:dyDescent="0.25">
      <c r="A123" s="70" t="s">
        <v>109</v>
      </c>
      <c r="B123" s="71"/>
      <c r="C123" s="70" t="s">
        <v>377</v>
      </c>
      <c r="D123" s="72"/>
      <c r="E123" s="72"/>
      <c r="F123" s="71"/>
      <c r="G123" s="63" t="s">
        <v>109</v>
      </c>
      <c r="H123" s="73">
        <v>452663</v>
      </c>
      <c r="I123" s="71"/>
      <c r="J123" s="56"/>
      <c r="K123" s="56"/>
    </row>
    <row r="124" spans="1:11" x14ac:dyDescent="0.25">
      <c r="A124" s="70" t="s">
        <v>109</v>
      </c>
      <c r="B124" s="71"/>
      <c r="C124" s="70" t="s">
        <v>378</v>
      </c>
      <c r="D124" s="72"/>
      <c r="E124" s="72"/>
      <c r="F124" s="71"/>
      <c r="G124" s="63" t="s">
        <v>379</v>
      </c>
      <c r="H124" s="73">
        <v>11317</v>
      </c>
      <c r="I124" s="71"/>
      <c r="J124" s="56"/>
      <c r="K124" s="56"/>
    </row>
    <row r="125" spans="1:11" ht="21" customHeight="1" x14ac:dyDescent="0.25">
      <c r="A125" s="70" t="s">
        <v>109</v>
      </c>
      <c r="B125" s="71"/>
      <c r="C125" s="70" t="s">
        <v>380</v>
      </c>
      <c r="D125" s="72"/>
      <c r="E125" s="72"/>
      <c r="F125" s="71"/>
      <c r="G125" s="63" t="s">
        <v>109</v>
      </c>
      <c r="H125" s="73">
        <v>72592</v>
      </c>
      <c r="I125" s="71"/>
      <c r="J125" s="56"/>
      <c r="K125" s="56"/>
    </row>
    <row r="126" spans="1:11" ht="22.5" customHeight="1" x14ac:dyDescent="0.25">
      <c r="A126" s="70" t="s">
        <v>109</v>
      </c>
      <c r="B126" s="71"/>
      <c r="C126" s="74" t="s">
        <v>381</v>
      </c>
      <c r="D126" s="75"/>
      <c r="E126" s="75"/>
      <c r="F126" s="76"/>
      <c r="G126" s="63" t="s">
        <v>109</v>
      </c>
      <c r="H126" s="77">
        <v>536572</v>
      </c>
      <c r="I126" s="76"/>
      <c r="J126" s="56"/>
      <c r="K126" s="56"/>
    </row>
    <row r="127" spans="1:11" x14ac:dyDescent="0.25">
      <c r="A127" s="56"/>
      <c r="B127" s="56"/>
      <c r="C127" s="56"/>
      <c r="D127" s="56"/>
      <c r="E127" s="56"/>
      <c r="F127" s="56"/>
      <c r="G127" s="56"/>
      <c r="H127" s="56"/>
      <c r="I127" s="56"/>
      <c r="J127" s="56"/>
      <c r="K127" s="56"/>
    </row>
    <row r="128" spans="1:11" x14ac:dyDescent="0.25">
      <c r="A128" s="56"/>
      <c r="B128" s="56"/>
      <c r="C128" s="56"/>
      <c r="D128" s="56"/>
      <c r="E128" s="56"/>
      <c r="F128" s="56"/>
      <c r="G128" s="56"/>
      <c r="H128" s="56"/>
      <c r="I128" s="56"/>
      <c r="J128" s="56"/>
      <c r="K128" s="56"/>
    </row>
  </sheetData>
  <mergeCells count="152">
    <mergeCell ref="A19:B19"/>
    <mergeCell ref="C19:E19"/>
    <mergeCell ref="F19:I19"/>
    <mergeCell ref="A20:B20"/>
    <mergeCell ref="C20:E20"/>
    <mergeCell ref="F20:G20"/>
    <mergeCell ref="H20:K20"/>
    <mergeCell ref="A25:I25"/>
    <mergeCell ref="A26:I26"/>
    <mergeCell ref="A29:B29"/>
    <mergeCell ref="C29:D30"/>
    <mergeCell ref="E29:E30"/>
    <mergeCell ref="F29:F30"/>
    <mergeCell ref="G29:I29"/>
    <mergeCell ref="A22:B22"/>
    <mergeCell ref="C22:E22"/>
    <mergeCell ref="F22:G22"/>
    <mergeCell ref="H22:K22"/>
    <mergeCell ref="A23:E23"/>
    <mergeCell ref="F23:H23"/>
    <mergeCell ref="C37:D37"/>
    <mergeCell ref="C38:D38"/>
    <mergeCell ref="C39:D39"/>
    <mergeCell ref="C40:D40"/>
    <mergeCell ref="C41:D41"/>
    <mergeCell ref="C42:D42"/>
    <mergeCell ref="C31:D31"/>
    <mergeCell ref="A32:I32"/>
    <mergeCell ref="C33:D33"/>
    <mergeCell ref="C34:D34"/>
    <mergeCell ref="C35:D35"/>
    <mergeCell ref="C36:D36"/>
    <mergeCell ref="C50:D50"/>
    <mergeCell ref="C51:D51"/>
    <mergeCell ref="C52:D52"/>
    <mergeCell ref="C53:D53"/>
    <mergeCell ref="C54:D54"/>
    <mergeCell ref="C55:D55"/>
    <mergeCell ref="C43:D43"/>
    <mergeCell ref="C44:D44"/>
    <mergeCell ref="C45:D45"/>
    <mergeCell ref="C46:D46"/>
    <mergeCell ref="A48:I48"/>
    <mergeCell ref="C49:D49"/>
    <mergeCell ref="C63:D63"/>
    <mergeCell ref="C64:D64"/>
    <mergeCell ref="C65:D65"/>
    <mergeCell ref="C66:D66"/>
    <mergeCell ref="C67:D67"/>
    <mergeCell ref="C68:D68"/>
    <mergeCell ref="A57:I57"/>
    <mergeCell ref="C58:D58"/>
    <mergeCell ref="C59:D59"/>
    <mergeCell ref="C60:D60"/>
    <mergeCell ref="C61:D61"/>
    <mergeCell ref="C62:D62"/>
    <mergeCell ref="C76:D76"/>
    <mergeCell ref="C77:D77"/>
    <mergeCell ref="C78:D78"/>
    <mergeCell ref="C79:D79"/>
    <mergeCell ref="C80:D80"/>
    <mergeCell ref="C81:D81"/>
    <mergeCell ref="C69:D69"/>
    <mergeCell ref="C70:D70"/>
    <mergeCell ref="C71:D71"/>
    <mergeCell ref="C72:D72"/>
    <mergeCell ref="A74:I74"/>
    <mergeCell ref="C75:D75"/>
    <mergeCell ref="C88:D88"/>
    <mergeCell ref="C89:D89"/>
    <mergeCell ref="C90:D90"/>
    <mergeCell ref="A92:I92"/>
    <mergeCell ref="C93:D93"/>
    <mergeCell ref="C94:D94"/>
    <mergeCell ref="C82:D82"/>
    <mergeCell ref="C83:D83"/>
    <mergeCell ref="C84:D84"/>
    <mergeCell ref="C85:D85"/>
    <mergeCell ref="C86:D86"/>
    <mergeCell ref="C87:D87"/>
    <mergeCell ref="C102:D102"/>
    <mergeCell ref="A104:G104"/>
    <mergeCell ref="H104:I104"/>
    <mergeCell ref="A106:B106"/>
    <mergeCell ref="C106:F106"/>
    <mergeCell ref="H106:I106"/>
    <mergeCell ref="C95:D95"/>
    <mergeCell ref="C96:D96"/>
    <mergeCell ref="C97:D97"/>
    <mergeCell ref="A99:I99"/>
    <mergeCell ref="C100:D100"/>
    <mergeCell ref="C101:D101"/>
    <mergeCell ref="A109:B109"/>
    <mergeCell ref="C109:F109"/>
    <mergeCell ref="H109:I109"/>
    <mergeCell ref="A110:B110"/>
    <mergeCell ref="C110:F110"/>
    <mergeCell ref="H110:I110"/>
    <mergeCell ref="A107:B107"/>
    <mergeCell ref="C107:F107"/>
    <mergeCell ref="H107:I107"/>
    <mergeCell ref="A108:B108"/>
    <mergeCell ref="C108:F108"/>
    <mergeCell ref="H108:I108"/>
    <mergeCell ref="A113:B113"/>
    <mergeCell ref="C113:F113"/>
    <mergeCell ref="H113:I113"/>
    <mergeCell ref="A114:B114"/>
    <mergeCell ref="C114:F114"/>
    <mergeCell ref="H114:I114"/>
    <mergeCell ref="A111:B111"/>
    <mergeCell ref="C111:F111"/>
    <mergeCell ref="H111:I111"/>
    <mergeCell ref="A112:B112"/>
    <mergeCell ref="C112:F112"/>
    <mergeCell ref="H112:I112"/>
    <mergeCell ref="A117:B117"/>
    <mergeCell ref="C117:F117"/>
    <mergeCell ref="H117:I117"/>
    <mergeCell ref="A118:B118"/>
    <mergeCell ref="C118:F118"/>
    <mergeCell ref="H118:I118"/>
    <mergeCell ref="A115:B115"/>
    <mergeCell ref="C115:F115"/>
    <mergeCell ref="H115:I115"/>
    <mergeCell ref="A116:B116"/>
    <mergeCell ref="C116:F116"/>
    <mergeCell ref="H116:I116"/>
    <mergeCell ref="A121:B121"/>
    <mergeCell ref="C121:F121"/>
    <mergeCell ref="H121:I121"/>
    <mergeCell ref="A122:B122"/>
    <mergeCell ref="C122:F122"/>
    <mergeCell ref="H122:I122"/>
    <mergeCell ref="A119:B119"/>
    <mergeCell ref="C119:F119"/>
    <mergeCell ref="H119:I119"/>
    <mergeCell ref="A120:B120"/>
    <mergeCell ref="C120:F120"/>
    <mergeCell ref="H120:I120"/>
    <mergeCell ref="A125:B125"/>
    <mergeCell ref="C125:F125"/>
    <mergeCell ref="H125:I125"/>
    <mergeCell ref="A126:B126"/>
    <mergeCell ref="C126:F126"/>
    <mergeCell ref="H126:I126"/>
    <mergeCell ref="A123:B123"/>
    <mergeCell ref="C123:F123"/>
    <mergeCell ref="H123:I123"/>
    <mergeCell ref="A124:B124"/>
    <mergeCell ref="C124:F124"/>
    <mergeCell ref="H124:I12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"/>
  <sheetViews>
    <sheetView workbookViewId="0">
      <selection activeCell="A13" sqref="A13"/>
    </sheetView>
  </sheetViews>
  <sheetFormatPr defaultRowHeight="15" x14ac:dyDescent="0.25"/>
  <sheetData>
    <row r="1" spans="1:19" ht="20.25" x14ac:dyDescent="0.3">
      <c r="A1" s="55" t="s">
        <v>390</v>
      </c>
    </row>
    <row r="2" spans="1:19" ht="15.75" x14ac:dyDescent="0.25">
      <c r="A2" s="41"/>
    </row>
    <row r="3" spans="1:19" ht="18.75" x14ac:dyDescent="0.3">
      <c r="A3" s="67" t="s">
        <v>396</v>
      </c>
      <c r="B3" s="67"/>
      <c r="C3" s="68"/>
      <c r="D3" s="68"/>
      <c r="E3" s="68"/>
      <c r="F3" s="68"/>
      <c r="G3" s="68"/>
      <c r="H3" s="69"/>
      <c r="I3" s="67" t="s">
        <v>399</v>
      </c>
      <c r="J3" s="68"/>
      <c r="K3" s="68"/>
      <c r="L3" s="68"/>
      <c r="M3" s="64"/>
      <c r="N3" s="64"/>
    </row>
    <row r="4" spans="1:19" ht="15.75" x14ac:dyDescent="0.25">
      <c r="A4" s="51" t="s">
        <v>391</v>
      </c>
      <c r="B4" s="51"/>
      <c r="C4" s="51"/>
      <c r="D4" s="51"/>
      <c r="E4" s="51">
        <v>75</v>
      </c>
      <c r="F4" s="51" t="s">
        <v>398</v>
      </c>
      <c r="G4" s="51"/>
      <c r="H4" s="54"/>
      <c r="I4" s="51" t="s">
        <v>391</v>
      </c>
      <c r="J4" s="51"/>
      <c r="K4" s="51"/>
      <c r="L4" s="51"/>
      <c r="M4" s="51">
        <v>75</v>
      </c>
      <c r="N4" s="51" t="s">
        <v>398</v>
      </c>
      <c r="O4" s="51"/>
    </row>
    <row r="5" spans="1:19" ht="15.75" x14ac:dyDescent="0.25">
      <c r="A5" s="51" t="s">
        <v>392</v>
      </c>
      <c r="B5" s="51"/>
      <c r="C5" s="51"/>
      <c r="D5" s="51"/>
      <c r="E5" s="51">
        <v>878</v>
      </c>
      <c r="F5" s="51" t="s">
        <v>398</v>
      </c>
      <c r="G5" s="51"/>
      <c r="H5" s="54"/>
      <c r="I5" s="51" t="s">
        <v>392</v>
      </c>
      <c r="J5" s="51"/>
      <c r="K5" s="51"/>
      <c r="L5" s="51"/>
      <c r="M5" s="51">
        <v>878</v>
      </c>
      <c r="N5" s="51" t="s">
        <v>398</v>
      </c>
      <c r="O5" s="51"/>
    </row>
    <row r="6" spans="1:19" ht="15.75" x14ac:dyDescent="0.25">
      <c r="A6" s="51" t="s">
        <v>393</v>
      </c>
      <c r="B6" s="51"/>
      <c r="C6" s="51"/>
      <c r="D6" s="51"/>
      <c r="E6" s="51">
        <v>886</v>
      </c>
      <c r="F6" s="51" t="s">
        <v>398</v>
      </c>
      <c r="G6" s="51"/>
      <c r="H6" s="54"/>
      <c r="I6" s="51" t="s">
        <v>393</v>
      </c>
      <c r="J6" s="51"/>
      <c r="K6" s="51"/>
      <c r="L6" s="51"/>
      <c r="M6" s="51">
        <v>886</v>
      </c>
      <c r="N6" s="51" t="s">
        <v>398</v>
      </c>
      <c r="O6" s="51"/>
    </row>
    <row r="7" spans="1:19" ht="15.75" x14ac:dyDescent="0.25">
      <c r="A7" s="51" t="s">
        <v>394</v>
      </c>
      <c r="B7" s="51"/>
      <c r="C7" s="51"/>
      <c r="D7" s="51"/>
      <c r="E7" s="51">
        <v>110</v>
      </c>
      <c r="F7" s="51" t="s">
        <v>398</v>
      </c>
      <c r="G7" s="51"/>
      <c r="H7" s="54"/>
      <c r="I7" s="51" t="s">
        <v>394</v>
      </c>
      <c r="J7" s="51"/>
      <c r="K7" s="51"/>
      <c r="L7" s="51"/>
      <c r="M7" s="51">
        <v>110</v>
      </c>
      <c r="N7" s="51" t="s">
        <v>398</v>
      </c>
      <c r="O7" s="51"/>
    </row>
    <row r="8" spans="1:19" ht="15.75" x14ac:dyDescent="0.25">
      <c r="A8" s="41" t="s">
        <v>395</v>
      </c>
      <c r="B8" s="51"/>
      <c r="C8" s="51"/>
      <c r="D8" s="51"/>
      <c r="E8" s="41">
        <v>401</v>
      </c>
      <c r="F8" s="51" t="s">
        <v>398</v>
      </c>
      <c r="G8" s="51"/>
      <c r="H8" s="54"/>
      <c r="I8" s="41" t="s">
        <v>397</v>
      </c>
      <c r="J8" s="51"/>
      <c r="K8" s="51"/>
      <c r="L8" s="51"/>
      <c r="M8" s="41">
        <v>63</v>
      </c>
      <c r="N8" s="51" t="s">
        <v>398</v>
      </c>
      <c r="O8" s="51"/>
    </row>
    <row r="9" spans="1:19" ht="15.75" x14ac:dyDescent="0.25">
      <c r="A9" s="51"/>
      <c r="B9" s="51"/>
      <c r="C9" s="51"/>
      <c r="D9" s="41" t="s">
        <v>81</v>
      </c>
      <c r="E9" s="41">
        <f>SUM(E4:E8)</f>
        <v>2350</v>
      </c>
      <c r="F9" s="41" t="s">
        <v>398</v>
      </c>
      <c r="G9" s="51"/>
      <c r="H9" s="54"/>
      <c r="I9" s="51"/>
      <c r="J9" s="51"/>
      <c r="K9" s="51"/>
      <c r="L9" s="41" t="s">
        <v>81</v>
      </c>
      <c r="M9" s="41">
        <f>SUM(M4:M8)</f>
        <v>2012</v>
      </c>
      <c r="N9" s="41" t="s">
        <v>398</v>
      </c>
      <c r="O9" s="51"/>
      <c r="P9" s="41">
        <f>SUM(E8-M8)</f>
        <v>338</v>
      </c>
      <c r="Q9" s="41" t="s">
        <v>414</v>
      </c>
      <c r="R9" s="41"/>
      <c r="S9" s="41"/>
    </row>
    <row r="10" spans="1:19" ht="15.75" x14ac:dyDescent="0.25">
      <c r="A10" s="41" t="s">
        <v>401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</row>
    <row r="11" spans="1:19" ht="15.75" x14ac:dyDescent="0.25">
      <c r="A11" s="41" t="s">
        <v>400</v>
      </c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</row>
    <row r="12" spans="1:19" ht="15.75" x14ac:dyDescent="0.25">
      <c r="A12" s="41" t="s">
        <v>403</v>
      </c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</row>
  </sheetData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Общие данные</vt:lpstr>
      <vt:lpstr>Активы</vt:lpstr>
      <vt:lpstr>Вариант 1 как есть </vt:lpstr>
      <vt:lpstr>Вариант 2 (на газе)</vt:lpstr>
      <vt:lpstr>Модернизация</vt:lpstr>
      <vt:lpstr>Ценообразование продукции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2020-03-25T07:06:18Z</dcterms:modified>
</cp:coreProperties>
</file>